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115" windowHeight="100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40" i="1" l="1"/>
  <c r="C25" i="3"/>
  <c r="C24" i="3"/>
  <c r="C73" i="3" l="1"/>
  <c r="C46" i="3"/>
  <c r="C29" i="3"/>
  <c r="B75" i="3"/>
  <c r="D44" i="3"/>
  <c r="D46" i="3"/>
  <c r="B45" i="3"/>
  <c r="D45" i="3" s="1"/>
  <c r="B44" i="3"/>
  <c r="B43" i="3"/>
  <c r="B47" i="3" s="1"/>
  <c r="B46" i="3"/>
  <c r="B69" i="3"/>
  <c r="D69" i="3" s="1"/>
  <c r="B67" i="3"/>
  <c r="B68" i="3"/>
  <c r="A68" i="3"/>
  <c r="B59" i="3"/>
  <c r="B58" i="3"/>
  <c r="B61" i="3"/>
  <c r="C61" i="3" s="1"/>
  <c r="I77" i="1"/>
  <c r="I76" i="1"/>
  <c r="D77" i="1"/>
  <c r="C77" i="1" s="1"/>
  <c r="C76" i="1"/>
  <c r="G76" i="1"/>
  <c r="G77" i="1"/>
  <c r="B39" i="3"/>
  <c r="C39" i="3" s="1"/>
  <c r="B29" i="3"/>
  <c r="B25" i="3"/>
  <c r="A29" i="3"/>
  <c r="B24" i="3"/>
  <c r="C13" i="3"/>
  <c r="G56" i="1"/>
  <c r="A3" i="3"/>
  <c r="I18" i="1"/>
  <c r="G18" i="1"/>
  <c r="D18" i="1"/>
  <c r="C18" i="1" s="1"/>
  <c r="C43" i="3" l="1"/>
  <c r="D43" i="3" s="1"/>
  <c r="D39" i="3"/>
  <c r="C68" i="3"/>
  <c r="D68" i="3" s="1"/>
  <c r="C70" i="3"/>
  <c r="D67" i="3"/>
  <c r="D61" i="3"/>
  <c r="D59" i="3"/>
  <c r="D58" i="3"/>
  <c r="C47" i="3"/>
  <c r="D25" i="3"/>
  <c r="D29" i="3"/>
  <c r="D24" i="3"/>
  <c r="D47" i="3"/>
  <c r="D79" i="1"/>
  <c r="C79" i="1" s="1"/>
  <c r="D36" i="1"/>
  <c r="C36" i="1" s="1"/>
  <c r="D13" i="1"/>
  <c r="G13" i="1" s="1"/>
  <c r="D37" i="1"/>
  <c r="D47" i="1"/>
  <c r="D46" i="1"/>
  <c r="G84" i="1"/>
  <c r="C84" i="1"/>
  <c r="C125" i="1"/>
  <c r="C124" i="1"/>
  <c r="C123" i="1"/>
  <c r="C121" i="1"/>
  <c r="C117" i="1"/>
  <c r="C104" i="1"/>
  <c r="C103" i="1"/>
  <c r="C102" i="1"/>
  <c r="C101" i="1"/>
  <c r="C100" i="1"/>
  <c r="C99" i="1"/>
  <c r="C98" i="1"/>
  <c r="C115" i="1"/>
  <c r="C111" i="1"/>
  <c r="C110" i="1"/>
  <c r="C109" i="1"/>
  <c r="C96" i="1"/>
  <c r="C93" i="1"/>
  <c r="C90" i="1"/>
  <c r="C89" i="1"/>
  <c r="C87" i="1"/>
  <c r="C88" i="1"/>
  <c r="G115" i="1"/>
  <c r="I115" i="1" s="1"/>
  <c r="G96" i="1"/>
  <c r="I121" i="1"/>
  <c r="G121" i="1"/>
  <c r="G34" i="1"/>
  <c r="I34" i="1" s="1"/>
  <c r="E119" i="1"/>
  <c r="E118" i="1"/>
  <c r="E113" i="1"/>
  <c r="E114" i="1"/>
  <c r="E112" i="1"/>
  <c r="D95" i="1"/>
  <c r="C95" i="1" s="1"/>
  <c r="E95" i="1"/>
  <c r="E94" i="1"/>
  <c r="D91" i="1"/>
  <c r="C91" i="1" s="1"/>
  <c r="E67" i="1"/>
  <c r="E78" i="1"/>
  <c r="E75" i="1"/>
  <c r="D59" i="1"/>
  <c r="C59" i="1" s="1"/>
  <c r="D61" i="1"/>
  <c r="D68" i="1" s="1"/>
  <c r="D64" i="1"/>
  <c r="C64" i="1" s="1"/>
  <c r="D63" i="1"/>
  <c r="C63" i="1" s="1"/>
  <c r="D57" i="1"/>
  <c r="C57" i="1" s="1"/>
  <c r="E49" i="1"/>
  <c r="E48" i="1"/>
  <c r="E46" i="1"/>
  <c r="D38" i="1"/>
  <c r="D19" i="1"/>
  <c r="C19" i="1" s="1"/>
  <c r="D90" i="1"/>
  <c r="G90" i="1" s="1"/>
  <c r="C143" i="1"/>
  <c r="G110" i="1"/>
  <c r="D144" i="1"/>
  <c r="C144" i="1"/>
  <c r="G40" i="1"/>
  <c r="C40" i="1"/>
  <c r="D42" i="1"/>
  <c r="C42" i="1" s="1"/>
  <c r="D29" i="1"/>
  <c r="D32" i="1" s="1"/>
  <c r="D16" i="1"/>
  <c r="G99" i="1"/>
  <c r="H97" i="1" s="1"/>
  <c r="G100" i="1"/>
  <c r="G101" i="1"/>
  <c r="G102" i="1"/>
  <c r="G103" i="1"/>
  <c r="G104" i="1"/>
  <c r="G98" i="1"/>
  <c r="A3" i="2"/>
  <c r="G117" i="1"/>
  <c r="G125" i="1"/>
  <c r="I125" i="1" s="1"/>
  <c r="D50" i="1"/>
  <c r="C50" i="1" s="1"/>
  <c r="G93" i="1"/>
  <c r="D94" i="1"/>
  <c r="G94" i="1" s="1"/>
  <c r="D82" i="1"/>
  <c r="C82" i="1" s="1"/>
  <c r="G82" i="1"/>
  <c r="I82" i="1" s="1"/>
  <c r="D92" i="1"/>
  <c r="C92" i="1" s="1"/>
  <c r="G89" i="1"/>
  <c r="G87" i="1"/>
  <c r="D89" i="1"/>
  <c r="D118" i="1"/>
  <c r="D119" i="1" s="1"/>
  <c r="C119" i="1" s="1"/>
  <c r="D88" i="1"/>
  <c r="G88" i="1" s="1"/>
  <c r="D86" i="1"/>
  <c r="C86" i="1" s="1"/>
  <c r="D108" i="1"/>
  <c r="C108" i="1" s="1"/>
  <c r="D109" i="1"/>
  <c r="D111" i="1"/>
  <c r="D110" i="1"/>
  <c r="D80" i="1"/>
  <c r="G80" i="1" s="1"/>
  <c r="I80" i="1" s="1"/>
  <c r="D72" i="1"/>
  <c r="C72" i="1" s="1"/>
  <c r="D71" i="1"/>
  <c r="C71" i="1" s="1"/>
  <c r="D67" i="1"/>
  <c r="C67" i="1" s="1"/>
  <c r="D65" i="1"/>
  <c r="C65" i="1" s="1"/>
  <c r="D54" i="1"/>
  <c r="C54" i="1" s="1"/>
  <c r="D73" i="1"/>
  <c r="D74" i="1" s="1"/>
  <c r="C74" i="1" s="1"/>
  <c r="D60" i="1"/>
  <c r="C60" i="1" s="1"/>
  <c r="D75" i="1"/>
  <c r="C75" i="1" s="1"/>
  <c r="D58" i="1"/>
  <c r="I69" i="1"/>
  <c r="C69" i="1"/>
  <c r="C58" i="1"/>
  <c r="C56" i="1"/>
  <c r="D49" i="1"/>
  <c r="C49" i="1" s="1"/>
  <c r="D43" i="1"/>
  <c r="C43" i="1" s="1"/>
  <c r="G46" i="1"/>
  <c r="C47" i="1"/>
  <c r="C51" i="1"/>
  <c r="C46" i="1"/>
  <c r="D48" i="1"/>
  <c r="C48" i="1" s="1"/>
  <c r="D45" i="1"/>
  <c r="C45" i="1" s="1"/>
  <c r="C44" i="1"/>
  <c r="C27" i="1"/>
  <c r="C26" i="1"/>
  <c r="C25" i="1"/>
  <c r="C24" i="1"/>
  <c r="C23" i="1"/>
  <c r="C22" i="1"/>
  <c r="C34" i="1"/>
  <c r="C33" i="1"/>
  <c r="C32" i="1"/>
  <c r="C31" i="1"/>
  <c r="C30" i="1"/>
  <c r="C29" i="1"/>
  <c r="D33" i="1"/>
  <c r="G33" i="1" s="1"/>
  <c r="I33" i="1" s="1"/>
  <c r="I27" i="1"/>
  <c r="I22" i="1"/>
  <c r="I15" i="1"/>
  <c r="I17" i="1"/>
  <c r="I16" i="1"/>
  <c r="G23" i="1"/>
  <c r="G24" i="1"/>
  <c r="G25" i="1"/>
  <c r="G26" i="1"/>
  <c r="I26" i="1" s="1"/>
  <c r="G22" i="1"/>
  <c r="G16" i="1"/>
  <c r="G15" i="1"/>
  <c r="G17" i="1"/>
  <c r="C20" i="1"/>
  <c r="C17" i="1"/>
  <c r="C16" i="1"/>
  <c r="C15" i="1"/>
  <c r="D30" i="1"/>
  <c r="D31" i="1"/>
  <c r="D15" i="1"/>
  <c r="D41" i="1"/>
  <c r="C41" i="1" s="1"/>
  <c r="D39" i="1"/>
  <c r="C39" i="1" s="1"/>
  <c r="C37" i="1"/>
  <c r="D14" i="1"/>
  <c r="C14" i="1" s="1"/>
  <c r="C38" i="1" l="1"/>
  <c r="G38" i="1"/>
  <c r="H21" i="1"/>
  <c r="C8" i="2" s="1"/>
  <c r="B33" i="3"/>
  <c r="I24" i="1"/>
  <c r="B34" i="3"/>
  <c r="I46" i="1"/>
  <c r="B17" i="3"/>
  <c r="D17" i="3" s="1"/>
  <c r="I25" i="1"/>
  <c r="B35" i="3"/>
  <c r="D62" i="1"/>
  <c r="C62" i="1" s="1"/>
  <c r="C94" i="1"/>
  <c r="C118" i="1"/>
  <c r="I23" i="1"/>
  <c r="C146" i="1"/>
  <c r="D55" i="1"/>
  <c r="C55" i="1" s="1"/>
  <c r="C13" i="1"/>
  <c r="G47" i="1"/>
  <c r="C80" i="1"/>
  <c r="D81" i="1"/>
  <c r="C81" i="1" s="1"/>
  <c r="C73" i="1"/>
  <c r="D53" i="1"/>
  <c r="C53" i="1" s="1"/>
  <c r="G50" i="1"/>
  <c r="I50" i="1" s="1"/>
  <c r="D66" i="1"/>
  <c r="C66" i="1" s="1"/>
  <c r="J21" i="1"/>
  <c r="D8" i="2" s="1"/>
  <c r="D78" i="1"/>
  <c r="G48" i="1"/>
  <c r="C61" i="1"/>
  <c r="C68" i="1"/>
  <c r="G49" i="1"/>
  <c r="G19" i="1"/>
  <c r="I19" i="1" s="1"/>
  <c r="G30" i="1"/>
  <c r="I30" i="1" s="1"/>
  <c r="C35" i="3" l="1"/>
  <c r="D35" i="3" s="1"/>
  <c r="C33" i="3"/>
  <c r="B10" i="3"/>
  <c r="D10" i="3" s="1"/>
  <c r="I38" i="1"/>
  <c r="I49" i="1"/>
  <c r="B20" i="3"/>
  <c r="I47" i="1"/>
  <c r="B18" i="3"/>
  <c r="D34" i="3"/>
  <c r="I48" i="1"/>
  <c r="B19" i="3"/>
  <c r="D19" i="3" s="1"/>
  <c r="D83" i="1"/>
  <c r="C83" i="1" s="1"/>
  <c r="C78" i="1"/>
  <c r="G68" i="1"/>
  <c r="G111" i="1"/>
  <c r="G55" i="1"/>
  <c r="C18" i="3" l="1"/>
  <c r="D18" i="3" s="1"/>
  <c r="D33" i="3"/>
  <c r="C20" i="3"/>
  <c r="D20" i="3" s="1"/>
  <c r="I68" i="1"/>
  <c r="I55" i="1"/>
  <c r="I134" i="1"/>
  <c r="I132" i="1"/>
  <c r="I110" i="1"/>
  <c r="I111" i="1"/>
  <c r="G39" i="1"/>
  <c r="I39" i="1" s="1"/>
  <c r="G63" i="1"/>
  <c r="B50" i="3" s="1"/>
  <c r="G65" i="1"/>
  <c r="B52" i="3" s="1"/>
  <c r="G66" i="1"/>
  <c r="B53" i="3" s="1"/>
  <c r="G64" i="1"/>
  <c r="B51" i="3" s="1"/>
  <c r="D51" i="3" s="1"/>
  <c r="G72" i="1"/>
  <c r="I72" i="1" s="1"/>
  <c r="G73" i="1"/>
  <c r="I73" i="1" s="1"/>
  <c r="G74" i="1"/>
  <c r="I74" i="1" s="1"/>
  <c r="C53" i="3" l="1"/>
  <c r="D53" i="3" s="1"/>
  <c r="D52" i="3"/>
  <c r="C52" i="3"/>
  <c r="C55" i="3" s="1"/>
  <c r="D50" i="3"/>
  <c r="I63" i="1"/>
  <c r="I64" i="1"/>
  <c r="I66" i="1"/>
  <c r="I65" i="1"/>
  <c r="G67" i="1"/>
  <c r="B54" i="3" s="1"/>
  <c r="D54" i="3" s="1"/>
  <c r="B55" i="3" l="1"/>
  <c r="D55" i="3"/>
  <c r="I67" i="1"/>
  <c r="G20" i="1"/>
  <c r="G14" i="1"/>
  <c r="I14" i="1" l="1"/>
  <c r="H12" i="1"/>
  <c r="I20" i="1"/>
  <c r="I13" i="1" l="1"/>
  <c r="J12" i="1" s="1"/>
  <c r="D7" i="2" s="1"/>
  <c r="C145" i="1"/>
  <c r="H140" i="1" s="1"/>
  <c r="C7" i="2"/>
  <c r="G124" i="1"/>
  <c r="I124" i="1" s="1"/>
  <c r="G123" i="1"/>
  <c r="G41" i="1"/>
  <c r="I41" i="1" s="1"/>
  <c r="G37" i="1"/>
  <c r="B9" i="3" s="1"/>
  <c r="D9" i="3" s="1"/>
  <c r="G71" i="1"/>
  <c r="G54" i="1"/>
  <c r="D120" i="1"/>
  <c r="D114" i="1"/>
  <c r="D113" i="1"/>
  <c r="C113" i="1" s="1"/>
  <c r="D112" i="1"/>
  <c r="C112" i="1" s="1"/>
  <c r="D106" i="1"/>
  <c r="C106" i="1" s="1"/>
  <c r="I102" i="1"/>
  <c r="I103" i="1"/>
  <c r="I104" i="1"/>
  <c r="G31" i="1"/>
  <c r="G69" i="1"/>
  <c r="G45" i="1"/>
  <c r="G57" i="1"/>
  <c r="G58" i="1"/>
  <c r="G59" i="1"/>
  <c r="G60" i="1"/>
  <c r="I60" i="1" s="1"/>
  <c r="G62" i="1"/>
  <c r="I62" i="1" s="1"/>
  <c r="G79" i="1"/>
  <c r="G81" i="1"/>
  <c r="I81" i="1" s="1"/>
  <c r="G83" i="1"/>
  <c r="I83" i="1" l="1"/>
  <c r="B62" i="3"/>
  <c r="B66" i="3"/>
  <c r="I45" i="1"/>
  <c r="B16" i="3"/>
  <c r="C16" i="3" s="1"/>
  <c r="C21" i="3" s="1"/>
  <c r="G114" i="1"/>
  <c r="C114" i="1"/>
  <c r="G120" i="1"/>
  <c r="C120" i="1"/>
  <c r="I79" i="1"/>
  <c r="I56" i="1"/>
  <c r="I57" i="1"/>
  <c r="I59" i="1"/>
  <c r="I37" i="1"/>
  <c r="I54" i="1"/>
  <c r="I71" i="1"/>
  <c r="I58" i="1"/>
  <c r="I31" i="1"/>
  <c r="G118" i="1"/>
  <c r="B26" i="3" s="1"/>
  <c r="D107" i="1"/>
  <c r="C107" i="1" s="1"/>
  <c r="H122" i="1"/>
  <c r="C17" i="2" s="1"/>
  <c r="I98" i="1"/>
  <c r="I123" i="1"/>
  <c r="G86" i="1"/>
  <c r="G112" i="1"/>
  <c r="I101" i="1"/>
  <c r="I99" i="1"/>
  <c r="G43" i="1"/>
  <c r="G36" i="1"/>
  <c r="G42" i="1"/>
  <c r="B11" i="3" s="1"/>
  <c r="D11" i="3" s="1"/>
  <c r="G61" i="1"/>
  <c r="I61" i="1" s="1"/>
  <c r="G51" i="1"/>
  <c r="I51" i="1" s="1"/>
  <c r="G32" i="1"/>
  <c r="I32" i="1" s="1"/>
  <c r="G91" i="1"/>
  <c r="G53" i="1"/>
  <c r="G119" i="1"/>
  <c r="B27" i="3" s="1"/>
  <c r="D27" i="3" s="1"/>
  <c r="G113" i="1"/>
  <c r="G106" i="1"/>
  <c r="B36" i="3" s="1"/>
  <c r="G29" i="1"/>
  <c r="I29" i="1" s="1"/>
  <c r="I100" i="1"/>
  <c r="G44" i="1"/>
  <c r="B12" i="3" s="1"/>
  <c r="D12" i="3" s="1"/>
  <c r="D62" i="3" l="1"/>
  <c r="C62" i="3"/>
  <c r="C63" i="3" s="1"/>
  <c r="B70" i="3"/>
  <c r="D66" i="3"/>
  <c r="D70" i="3" s="1"/>
  <c r="D26" i="3"/>
  <c r="I120" i="1"/>
  <c r="B28" i="3"/>
  <c r="D36" i="3"/>
  <c r="B8" i="3"/>
  <c r="D16" i="3"/>
  <c r="B21" i="3"/>
  <c r="D21" i="3" s="1"/>
  <c r="I118" i="1"/>
  <c r="H116" i="1"/>
  <c r="C16" i="2" s="1"/>
  <c r="I113" i="1"/>
  <c r="I114" i="1"/>
  <c r="I44" i="1"/>
  <c r="J35" i="1" s="1"/>
  <c r="D10" i="2" s="1"/>
  <c r="I42" i="1"/>
  <c r="H35" i="1"/>
  <c r="C10" i="2" s="1"/>
  <c r="H52" i="1"/>
  <c r="C11" i="2" s="1"/>
  <c r="I53" i="1"/>
  <c r="J52" i="1" s="1"/>
  <c r="D11" i="2" s="1"/>
  <c r="I36" i="1"/>
  <c r="H28" i="1"/>
  <c r="C9" i="2" s="1"/>
  <c r="J70" i="1"/>
  <c r="D12" i="2" s="1"/>
  <c r="J122" i="1"/>
  <c r="D17" i="2" s="1"/>
  <c r="I43" i="1"/>
  <c r="I112" i="1"/>
  <c r="G108" i="1"/>
  <c r="B38" i="3" s="1"/>
  <c r="G109" i="1"/>
  <c r="I91" i="1"/>
  <c r="G107" i="1"/>
  <c r="B37" i="3" s="1"/>
  <c r="D37" i="3" s="1"/>
  <c r="I119" i="1"/>
  <c r="I86" i="1"/>
  <c r="C14" i="2"/>
  <c r="G92" i="1"/>
  <c r="I92" i="1" s="1"/>
  <c r="G78" i="1"/>
  <c r="I78" i="1" s="1"/>
  <c r="G75" i="1"/>
  <c r="J97" i="1"/>
  <c r="D14" i="2" s="1"/>
  <c r="G95" i="1"/>
  <c r="I95" i="1" s="1"/>
  <c r="J28" i="1"/>
  <c r="D9" i="2" s="1"/>
  <c r="I117" i="1"/>
  <c r="I106" i="1"/>
  <c r="D38" i="3" l="1"/>
  <c r="C38" i="3"/>
  <c r="C40" i="3" s="1"/>
  <c r="D28" i="3"/>
  <c r="C28" i="3"/>
  <c r="C30" i="3" s="1"/>
  <c r="C77" i="3" s="1"/>
  <c r="C78" i="3" s="1"/>
  <c r="B60" i="3"/>
  <c r="H70" i="1"/>
  <c r="B40" i="3"/>
  <c r="B30" i="3"/>
  <c r="D30" i="3" s="1"/>
  <c r="D40" i="3"/>
  <c r="D8" i="3"/>
  <c r="B13" i="3"/>
  <c r="D13" i="3" s="1"/>
  <c r="H105" i="1"/>
  <c r="C15" i="2" s="1"/>
  <c r="I109" i="1"/>
  <c r="H85" i="1"/>
  <c r="C13" i="2" s="1"/>
  <c r="C12" i="2"/>
  <c r="I107" i="1"/>
  <c r="I108" i="1"/>
  <c r="I75" i="1"/>
  <c r="J105" i="1"/>
  <c r="D15" i="2" s="1"/>
  <c r="J116" i="1"/>
  <c r="D16" i="2" s="1"/>
  <c r="J85" i="1"/>
  <c r="D13" i="2" s="1"/>
  <c r="B63" i="3" l="1"/>
  <c r="B73" i="3" s="1"/>
  <c r="B76" i="3" s="1"/>
  <c r="D76" i="3" s="1"/>
  <c r="D60" i="3"/>
  <c r="D63" i="3" s="1"/>
  <c r="D73" i="3" s="1"/>
  <c r="H127" i="1"/>
  <c r="D135" i="1" s="1"/>
  <c r="I133" i="1"/>
  <c r="D130" i="1" l="1"/>
  <c r="D131" i="1"/>
  <c r="D133" i="1"/>
  <c r="I130" i="1"/>
  <c r="I135" i="1"/>
  <c r="H129" i="1" l="1"/>
  <c r="H137" i="1" s="1"/>
  <c r="C142" i="1" s="1"/>
  <c r="I131" i="1"/>
  <c r="K129" i="1" l="1"/>
  <c r="E18" i="2" s="1"/>
  <c r="C18" i="2"/>
  <c r="C19" i="2" s="1"/>
  <c r="K12" i="1"/>
  <c r="E7" i="2" s="1"/>
  <c r="K28" i="1"/>
  <c r="E9" i="2" s="1"/>
  <c r="H138" i="1"/>
  <c r="H139" i="1" s="1"/>
  <c r="H141" i="1" s="1"/>
  <c r="K122" i="1"/>
  <c r="E17" i="2" s="1"/>
  <c r="K21" i="1"/>
  <c r="E8" i="2" s="1"/>
  <c r="K97" i="1"/>
  <c r="E14" i="2" s="1"/>
  <c r="J136" i="1"/>
  <c r="K52" i="1"/>
  <c r="E11" i="2" s="1"/>
  <c r="K70" i="1"/>
  <c r="E12" i="2" s="1"/>
  <c r="K116" i="1"/>
  <c r="E16" i="2" s="1"/>
  <c r="K35" i="1"/>
  <c r="E10" i="2" s="1"/>
  <c r="K105" i="1"/>
  <c r="E15" i="2" s="1"/>
  <c r="K85" i="1"/>
  <c r="E13" i="2" s="1"/>
  <c r="D142" i="1" l="1"/>
  <c r="C147" i="1"/>
  <c r="E19" i="2"/>
  <c r="K136" i="1"/>
</calcChain>
</file>

<file path=xl/comments1.xml><?xml version="1.0" encoding="utf-8"?>
<comments xmlns="http://schemas.openxmlformats.org/spreadsheetml/2006/main">
  <authors>
    <author>Greg</author>
  </authors>
  <commentList>
    <comment ref="B2" authorId="0">
      <text>
        <r>
          <rPr>
            <b/>
            <sz val="9"/>
            <color indexed="81"/>
            <rFont val="Tahoma"/>
            <family val="2"/>
          </rPr>
          <t xml:space="preserve">This calculator will Auto fill other than the green marked cells that can be manually edited. For new items that are not included within the description list, you can add new items in the "Other Work" cells also marked in green. </t>
        </r>
        <r>
          <rPr>
            <sz val="9"/>
            <color indexed="81"/>
            <rFont val="Tahoma"/>
            <family val="2"/>
          </rPr>
          <t xml:space="preserve">
</t>
        </r>
      </text>
    </comment>
    <comment ref="K2" authorId="0">
      <text>
        <r>
          <rPr>
            <b/>
            <sz val="9"/>
            <color indexed="81"/>
            <rFont val="Tahoma"/>
            <family val="2"/>
          </rPr>
          <t xml:space="preserve">This calculator has been developed using industry average cost and is NOT to be considers an accurate depiction of cost, as every home has different specifications and construction details that can NOT be contemplated here </t>
        </r>
      </text>
    </comment>
    <comment ref="B7" authorId="0">
      <text>
        <r>
          <rPr>
            <b/>
            <sz val="9"/>
            <color indexed="81"/>
            <rFont val="Tahoma"/>
            <family val="2"/>
          </rPr>
          <t>Area to outside of exterior walls, including stairwell openings</t>
        </r>
        <r>
          <rPr>
            <sz val="9"/>
            <color indexed="81"/>
            <rFont val="Tahoma"/>
            <family val="2"/>
          </rPr>
          <t xml:space="preserve">
</t>
        </r>
      </text>
    </comment>
    <comment ref="C7" authorId="0">
      <text>
        <r>
          <rPr>
            <b/>
            <sz val="9"/>
            <color indexed="81"/>
            <rFont val="Tahoma"/>
            <family val="2"/>
          </rPr>
          <t xml:space="preserve">This is for deck areas with a full roof over
</t>
        </r>
      </text>
    </comment>
    <comment ref="D7" authorId="0">
      <text>
        <r>
          <rPr>
            <b/>
            <sz val="9"/>
            <color indexed="81"/>
            <rFont val="Tahoma"/>
            <family val="2"/>
          </rPr>
          <t>for above ground decks with NO roof over</t>
        </r>
        <r>
          <rPr>
            <sz val="9"/>
            <color indexed="81"/>
            <rFont val="Tahoma"/>
            <family val="2"/>
          </rPr>
          <t xml:space="preserve">
</t>
        </r>
      </text>
    </comment>
    <comment ref="E7" authorId="0">
      <text>
        <r>
          <rPr>
            <b/>
            <sz val="9"/>
            <color indexed="81"/>
            <rFont val="Tahoma"/>
            <family val="2"/>
          </rPr>
          <t>This would include any area such as a covered entry, veranda, or porch</t>
        </r>
        <r>
          <rPr>
            <sz val="9"/>
            <color indexed="81"/>
            <rFont val="Tahoma"/>
            <family val="2"/>
          </rPr>
          <t xml:space="preserve">
</t>
        </r>
      </text>
    </comment>
    <comment ref="F7" authorId="0">
      <text>
        <r>
          <rPr>
            <b/>
            <sz val="9"/>
            <color indexed="81"/>
            <rFont val="Tahoma"/>
            <family val="2"/>
          </rPr>
          <t>for full hight walk-out walls, do not include pony walls</t>
        </r>
        <r>
          <rPr>
            <sz val="9"/>
            <color indexed="81"/>
            <rFont val="Tahoma"/>
            <family val="2"/>
          </rPr>
          <t xml:space="preserve">
</t>
        </r>
      </text>
    </comment>
    <comment ref="G7" authorId="0">
      <text>
        <r>
          <rPr>
            <b/>
            <sz val="9"/>
            <color indexed="81"/>
            <rFont val="Tahoma"/>
            <family val="2"/>
          </rPr>
          <t>Garage area from outsite walls</t>
        </r>
        <r>
          <rPr>
            <sz val="9"/>
            <color indexed="81"/>
            <rFont val="Tahoma"/>
            <family val="2"/>
          </rPr>
          <t xml:space="preserve">
</t>
        </r>
      </text>
    </comment>
    <comment ref="H7" authorId="0">
      <text>
        <r>
          <rPr>
            <b/>
            <sz val="9"/>
            <color indexed="81"/>
            <rFont val="Tahoma"/>
            <family val="2"/>
          </rPr>
          <t>This is for attic truss development using a "room truss" insert only the attic room size</t>
        </r>
        <r>
          <rPr>
            <sz val="9"/>
            <color indexed="81"/>
            <rFont val="Tahoma"/>
            <family val="2"/>
          </rPr>
          <t xml:space="preserve">
</t>
        </r>
      </text>
    </comment>
    <comment ref="I7" authorId="0">
      <text>
        <r>
          <rPr>
            <b/>
            <sz val="9"/>
            <color indexed="81"/>
            <rFont val="Tahoma"/>
            <family val="2"/>
          </rPr>
          <t>This is projectrd months of construction</t>
        </r>
        <r>
          <rPr>
            <sz val="9"/>
            <color indexed="81"/>
            <rFont val="Tahoma"/>
            <family val="2"/>
          </rPr>
          <t xml:space="preserve">
</t>
        </r>
      </text>
    </comment>
    <comment ref="J7" authorId="0">
      <text>
        <r>
          <rPr>
            <b/>
            <sz val="9"/>
            <color indexed="81"/>
            <rFont val="Tahoma"/>
            <family val="2"/>
          </rPr>
          <t>Count each individual window pane, for example a 3 unit mulled window would be counted as 3 units, plus add all exterior man doors, including patio doors, this is to calculate an averaged number</t>
        </r>
        <r>
          <rPr>
            <sz val="9"/>
            <color indexed="81"/>
            <rFont val="Tahoma"/>
            <family val="2"/>
          </rPr>
          <t xml:space="preserve">
</t>
        </r>
      </text>
    </comment>
    <comment ref="B9" authorId="0">
      <text>
        <r>
          <rPr>
            <b/>
            <sz val="9"/>
            <color indexed="81"/>
            <rFont val="Tahoma"/>
            <family val="2"/>
          </rPr>
          <t>Area of second floor from exterior of outside walls, do not include stairwell or open to below areas</t>
        </r>
        <r>
          <rPr>
            <sz val="9"/>
            <color indexed="81"/>
            <rFont val="Tahoma"/>
            <family val="2"/>
          </rPr>
          <t xml:space="preserve">
</t>
        </r>
      </text>
    </comment>
    <comment ref="C9" authorId="0">
      <text>
        <r>
          <rPr>
            <b/>
            <sz val="9"/>
            <color indexed="81"/>
            <rFont val="Tahoma"/>
            <family val="2"/>
          </rPr>
          <t>Insert running ft. of lowers + fridge and range area</t>
        </r>
        <r>
          <rPr>
            <sz val="9"/>
            <color indexed="81"/>
            <rFont val="Tahoma"/>
            <family val="2"/>
          </rPr>
          <t xml:space="preserve">
</t>
        </r>
      </text>
    </comment>
    <comment ref="E9" authorId="0">
      <text>
        <r>
          <rPr>
            <b/>
            <sz val="9"/>
            <color indexed="81"/>
            <rFont val="Tahoma"/>
            <family val="2"/>
          </rPr>
          <t>include all interior passage doors, including French doors, pocket doors and barn doors, this is for an average of all doors</t>
        </r>
      </text>
    </comment>
    <comment ref="F9" authorId="0">
      <text>
        <r>
          <rPr>
            <b/>
            <sz val="9"/>
            <color indexed="81"/>
            <rFont val="Tahoma"/>
            <family val="2"/>
          </rPr>
          <t xml:space="preserve">inclued all full baths Including all 3 pc and 4 pc bathrooms, including the master bath, but do not inclued 1/2 bath's 
</t>
        </r>
        <r>
          <rPr>
            <sz val="9"/>
            <color indexed="81"/>
            <rFont val="Tahoma"/>
            <family val="2"/>
          </rPr>
          <t xml:space="preserve">
</t>
        </r>
      </text>
    </comment>
    <comment ref="G9" authorId="0">
      <text>
        <r>
          <rPr>
            <b/>
            <sz val="9"/>
            <color indexed="81"/>
            <rFont val="Tahoma"/>
            <family val="2"/>
          </rPr>
          <t>bathrooms with a vanity and toilet, with NO tub ot shower</t>
        </r>
      </text>
    </comment>
    <comment ref="K9" authorId="0">
      <text>
        <r>
          <rPr>
            <b/>
            <sz val="9"/>
            <color indexed="81"/>
            <rFont val="Tahoma"/>
            <family val="2"/>
          </rPr>
          <t xml:space="preserve">This includes gas &amp; wood burning FP, to arrive an  average </t>
        </r>
        <r>
          <rPr>
            <sz val="9"/>
            <color indexed="81"/>
            <rFont val="Tahoma"/>
            <family val="2"/>
          </rPr>
          <t xml:space="preserve">
</t>
        </r>
      </text>
    </comment>
    <comment ref="B11" authorId="0">
      <text>
        <r>
          <rPr>
            <b/>
            <sz val="9"/>
            <color indexed="81"/>
            <rFont val="Tahoma"/>
            <family val="2"/>
          </rPr>
          <t>Finished basement development area only</t>
        </r>
        <r>
          <rPr>
            <sz val="9"/>
            <color indexed="81"/>
            <rFont val="Tahoma"/>
            <family val="2"/>
          </rPr>
          <t xml:space="preserve">
</t>
        </r>
      </text>
    </comment>
    <comment ref="N11" authorId="0">
      <text>
        <r>
          <rPr>
            <sz val="9"/>
            <color indexed="81"/>
            <rFont val="Tahoma"/>
            <family val="2"/>
          </rPr>
          <t xml:space="preserve">
</t>
        </r>
      </text>
    </comment>
    <comment ref="N15" authorId="0">
      <text>
        <r>
          <rPr>
            <sz val="9"/>
            <color indexed="81"/>
            <rFont val="Tahoma"/>
            <family val="2"/>
          </rPr>
          <t xml:space="preserve">
</t>
        </r>
      </text>
    </comment>
    <comment ref="B20" authorId="0">
      <text>
        <r>
          <rPr>
            <b/>
            <sz val="9"/>
            <color indexed="81"/>
            <rFont val="Tahoma"/>
            <family val="2"/>
          </rPr>
          <t>For Other Work, edit for items not contemplated in this calculator</t>
        </r>
        <r>
          <rPr>
            <sz val="9"/>
            <color indexed="81"/>
            <rFont val="Tahoma"/>
            <family val="2"/>
          </rPr>
          <t xml:space="preserve">
</t>
        </r>
      </text>
    </comment>
    <comment ref="N164" authorId="0">
      <text>
        <r>
          <rPr>
            <b/>
            <sz val="9"/>
            <color indexed="81"/>
            <rFont val="Tahoma"/>
            <family val="2"/>
          </rPr>
          <t>Greg:</t>
        </r>
        <r>
          <rPr>
            <sz val="9"/>
            <color indexed="81"/>
            <rFont val="Tahoma"/>
            <family val="2"/>
          </rPr>
          <t xml:space="preserve">
</t>
        </r>
      </text>
    </comment>
  </commentList>
</comments>
</file>

<file path=xl/comments2.xml><?xml version="1.0" encoding="utf-8"?>
<comments xmlns="http://schemas.openxmlformats.org/spreadsheetml/2006/main">
  <authors>
    <author>Greg</author>
  </authors>
  <commentList>
    <comment ref="C7" authorId="0">
      <text>
        <r>
          <rPr>
            <b/>
            <sz val="9"/>
            <color indexed="81"/>
            <rFont val="Tahoma"/>
            <family val="2"/>
          </rPr>
          <t xml:space="preserve">The numbers shown in this column are for example only. To use the cost comparison operation, insert actual cost here, actual cost under the budget # will show in black, cost over the budget number will shown in RED </t>
        </r>
        <r>
          <rPr>
            <sz val="9"/>
            <color indexed="81"/>
            <rFont val="Tahoma"/>
            <family val="2"/>
          </rPr>
          <t xml:space="preserve">
</t>
        </r>
      </text>
    </comment>
    <comment ref="D13" authorId="0">
      <text>
        <r>
          <rPr>
            <b/>
            <sz val="9"/>
            <color indexed="81"/>
            <rFont val="Tahoma"/>
            <family val="2"/>
          </rPr>
          <t>This cell total is the cost to complete number for this section, if the number shows up in RED then this section is over budget</t>
        </r>
        <r>
          <rPr>
            <sz val="9"/>
            <color indexed="81"/>
            <rFont val="Tahoma"/>
            <family val="2"/>
          </rPr>
          <t xml:space="preserve">
</t>
        </r>
      </text>
    </comment>
    <comment ref="D73" authorId="0">
      <text>
        <r>
          <rPr>
            <b/>
            <sz val="9"/>
            <color indexed="81"/>
            <rFont val="Tahoma"/>
            <family val="2"/>
          </rPr>
          <t>If this cell is RED then the above KEY project cost are over budget</t>
        </r>
        <r>
          <rPr>
            <sz val="9"/>
            <color indexed="81"/>
            <rFont val="Tahoma"/>
            <family val="2"/>
          </rPr>
          <t xml:space="preserve">
</t>
        </r>
      </text>
    </comment>
    <comment ref="C76" authorId="0">
      <text>
        <r>
          <rPr>
            <b/>
            <sz val="9"/>
            <color indexed="81"/>
            <rFont val="Tahoma"/>
            <family val="2"/>
          </rPr>
          <t>This number is an example number only, insert total of all other hard cost not entered into KEY numbers above, here as the project proceeds to determine a cost to complete number</t>
        </r>
        <r>
          <rPr>
            <sz val="9"/>
            <color indexed="81"/>
            <rFont val="Tahoma"/>
            <family val="2"/>
          </rPr>
          <t xml:space="preserve">
</t>
        </r>
      </text>
    </comment>
    <comment ref="D76" authorId="0">
      <text>
        <r>
          <rPr>
            <b/>
            <sz val="9"/>
            <color indexed="81"/>
            <rFont val="Tahoma"/>
            <family val="2"/>
          </rPr>
          <t>If this cell isin RED then the balnce of project cost are over budget</t>
        </r>
        <r>
          <rPr>
            <sz val="9"/>
            <color indexed="81"/>
            <rFont val="Tahoma"/>
            <family val="2"/>
          </rPr>
          <t xml:space="preserve">
</t>
        </r>
      </text>
    </comment>
    <comment ref="C78" authorId="0">
      <text>
        <r>
          <rPr>
            <b/>
            <sz val="9"/>
            <color indexed="81"/>
            <rFont val="Tahoma"/>
            <family val="2"/>
          </rPr>
          <t>If this cell is a negative number then the job is over budget</t>
        </r>
        <r>
          <rPr>
            <sz val="9"/>
            <color indexed="81"/>
            <rFont val="Tahoma"/>
            <family val="2"/>
          </rPr>
          <t xml:space="preserve">
</t>
        </r>
      </text>
    </comment>
  </commentList>
</comments>
</file>

<file path=xl/sharedStrings.xml><?xml version="1.0" encoding="utf-8"?>
<sst xmlns="http://schemas.openxmlformats.org/spreadsheetml/2006/main" count="391" uniqueCount="260">
  <si>
    <t>Ratio</t>
  </si>
  <si>
    <t>G.F.A</t>
  </si>
  <si>
    <t>Element</t>
  </si>
  <si>
    <t>Average</t>
  </si>
  <si>
    <t>Unit Cost</t>
  </si>
  <si>
    <t>Amount</t>
  </si>
  <si>
    <t>Dollars</t>
  </si>
  <si>
    <t>Total Cost</t>
  </si>
  <si>
    <t>sq. ft.</t>
  </si>
  <si>
    <t>Cost</t>
  </si>
  <si>
    <t>per sq. ft.</t>
  </si>
  <si>
    <t>sq. ft. cost</t>
  </si>
  <si>
    <t>Percentage</t>
  </si>
  <si>
    <t>FITTINGS &amp; EQUIPMENT</t>
  </si>
  <si>
    <t>Specialties</t>
  </si>
  <si>
    <t>Equipment</t>
  </si>
  <si>
    <t>Fir Protection</t>
  </si>
  <si>
    <t>Controls</t>
  </si>
  <si>
    <t>ELECTRICAL</t>
  </si>
  <si>
    <t>per item</t>
  </si>
  <si>
    <t>GENERAL REQ's &amp; FEES</t>
  </si>
  <si>
    <t>per pc</t>
  </si>
  <si>
    <t>per pc.</t>
  </si>
  <si>
    <t>Quantity</t>
  </si>
  <si>
    <t>Cube Yd.</t>
  </si>
  <si>
    <t>Material handling Systems</t>
  </si>
  <si>
    <t>Plumbing &amp; Drainage</t>
  </si>
  <si>
    <t>Systems &amp; Ancillaries</t>
  </si>
  <si>
    <t>Windows ex door units</t>
  </si>
  <si>
    <t>Garage Doors &amp; openers</t>
  </si>
  <si>
    <t>Counter tops</t>
  </si>
  <si>
    <t>lin ft.</t>
  </si>
  <si>
    <t>ALLOWANCES</t>
  </si>
  <si>
    <t>Lighting allowance</t>
  </si>
  <si>
    <t>per job</t>
  </si>
  <si>
    <t>START-UP</t>
  </si>
  <si>
    <t>Standard Permits</t>
  </si>
  <si>
    <t>MECANICAL</t>
  </si>
  <si>
    <t>Plumbing fixture allowance</t>
  </si>
  <si>
    <t>Appliance's allowance</t>
  </si>
  <si>
    <t xml:space="preserve">Architectural Design / Plans </t>
  </si>
  <si>
    <t>Total Per</t>
  </si>
  <si>
    <t>Copyright Protected</t>
  </si>
  <si>
    <t>Passage doors materials</t>
  </si>
  <si>
    <t>Based on 2021 Data</t>
  </si>
  <si>
    <r>
      <rPr>
        <sz val="24"/>
        <color theme="3" tint="-0.249977111117893"/>
        <rFont val="Arial Black"/>
        <family val="2"/>
      </rPr>
      <t>LANDEN</t>
    </r>
    <r>
      <rPr>
        <b/>
        <sz val="24"/>
        <color theme="3" tint="-0.249977111117893"/>
        <rFont val="Arial"/>
        <family val="2"/>
      </rPr>
      <t xml:space="preserve"> </t>
    </r>
    <r>
      <rPr>
        <b/>
        <sz val="24"/>
        <color theme="3" tint="-0.249977111117893"/>
        <rFont val="Chief Blueprint"/>
      </rPr>
      <t xml:space="preserve">Design Build </t>
    </r>
  </si>
  <si>
    <t>Roof Covering 6/12 slope area</t>
  </si>
  <si>
    <t>Gutter &amp; d/n pipe</t>
  </si>
  <si>
    <t>Roof Projections soffit &amp; Facia</t>
  </si>
  <si>
    <t>Smart trim</t>
  </si>
  <si>
    <t>Rear porch area slab and finish</t>
  </si>
  <si>
    <t>Front porch area slab and finish</t>
  </si>
  <si>
    <t>MILLWORK &amp; DOORS</t>
  </si>
  <si>
    <t>Passage doors labour</t>
  </si>
  <si>
    <t>Windows cased materials</t>
  </si>
  <si>
    <t>Windows cased labour</t>
  </si>
  <si>
    <t>Base board materials</t>
  </si>
  <si>
    <t>Base board labour</t>
  </si>
  <si>
    <t>per unit</t>
  </si>
  <si>
    <t>Insulation attic</t>
  </si>
  <si>
    <t>Drywall tape &amp; mud</t>
  </si>
  <si>
    <t>Drywall ceiling tex</t>
  </si>
  <si>
    <t>Other Interior trim</t>
  </si>
  <si>
    <t>per sq. ft. rate</t>
  </si>
  <si>
    <t>Lighting Devices &amp; finish</t>
  </si>
  <si>
    <t>General Painting interior</t>
  </si>
  <si>
    <t>Ceiling Finishes allowance</t>
  </si>
  <si>
    <t>Garage slab</t>
  </si>
  <si>
    <t>Water lines and rough-in</t>
  </si>
  <si>
    <t>Plumbing finish labour</t>
  </si>
  <si>
    <t>Builder's management fee</t>
  </si>
  <si>
    <t>Insurance</t>
  </si>
  <si>
    <t>WCB fees</t>
  </si>
  <si>
    <t>NHW Fees</t>
  </si>
  <si>
    <t xml:space="preserve">                    Equal all above hard cost</t>
  </si>
  <si>
    <t xml:space="preserve">Contingency </t>
  </si>
  <si>
    <t>Based on CMHC &amp; BTY Group sourced construction data for Calgary Alberta</t>
  </si>
  <si>
    <t>Hydronic &amp; Boiler system</t>
  </si>
  <si>
    <t>Paint exterior mat &amp; Labour</t>
  </si>
  <si>
    <t>Painting Millwork</t>
  </si>
  <si>
    <t>HVAC (Air handling)</t>
  </si>
  <si>
    <t>Survey  Engineering allowance</t>
  </si>
  <si>
    <t>Built-in vac system</t>
  </si>
  <si>
    <t>Alarm system</t>
  </si>
  <si>
    <t>Solar systems</t>
  </si>
  <si>
    <t>Media systems</t>
  </si>
  <si>
    <t>Drywall Board area mat &amp; Lab</t>
  </si>
  <si>
    <t>Interior Flooring Finishes Allowance</t>
  </si>
  <si>
    <t>Attic truss development Allowance</t>
  </si>
  <si>
    <t>Second Floor area sq. ft.</t>
  </si>
  <si>
    <t>Covered Deck sq.ft.</t>
  </si>
  <si>
    <t>Deck sq. ft.</t>
  </si>
  <si>
    <t>Covered porch</t>
  </si>
  <si>
    <t>walk-out</t>
  </si>
  <si>
    <t>Lin. Ft.</t>
  </si>
  <si>
    <t>Gross main Area sq. ft.</t>
  </si>
  <si>
    <t>Framing materials (No joist/trusses)</t>
  </si>
  <si>
    <t>Framing floor beam systems</t>
  </si>
  <si>
    <t>Roof framing &amp; trusses</t>
  </si>
  <si>
    <t>Basement slab</t>
  </si>
  <si>
    <t>Attic Truss dev.</t>
  </si>
  <si>
    <t>MAIN STRUCTUER</t>
  </si>
  <si>
    <t>Construction insurance</t>
  </si>
  <si>
    <t>Porta Toilet per month</t>
  </si>
  <si>
    <t>Garbage bin per month</t>
  </si>
  <si>
    <t>Project</t>
  </si>
  <si>
    <t>Duration</t>
  </si>
  <si>
    <t>Cube yard</t>
  </si>
  <si>
    <t>Excavation &amp; trench work</t>
  </si>
  <si>
    <t>Excavation back-fill &amp; grade</t>
  </si>
  <si>
    <t>Foundation Cribber</t>
  </si>
  <si>
    <t>SITE CONDITIONS &amp; RURAL COST</t>
  </si>
  <si>
    <t>Electrical main service &amp; meter 100 amp</t>
  </si>
  <si>
    <t>Other work</t>
  </si>
  <si>
    <t>per month</t>
  </si>
  <si>
    <t>Well &amp; water systems (Allowances)</t>
  </si>
  <si>
    <t>Sewer hook-up or Septic system (Allow)</t>
  </si>
  <si>
    <t>Road - drive way (Allowance)</t>
  </si>
  <si>
    <t>Gas Service (Allowance)</t>
  </si>
  <si>
    <t>Weeping tile &amp; Spray</t>
  </si>
  <si>
    <t>Framing labour main areas</t>
  </si>
  <si>
    <t>Framing  Labour Basement dev</t>
  </si>
  <si>
    <t>Framing labour decks</t>
  </si>
  <si>
    <t>Framing labour garage</t>
  </si>
  <si>
    <t>Framing Labour walk-out</t>
  </si>
  <si>
    <t xml:space="preserve">Stair Construction </t>
  </si>
  <si>
    <t>Wall siding stucco</t>
  </si>
  <si>
    <t># of ex doors</t>
  </si>
  <si>
    <t xml:space="preserve"># of Garage </t>
  </si>
  <si>
    <t>doors</t>
  </si>
  <si>
    <t>Lin. Ft. Kitchen cab</t>
  </si>
  <si>
    <t>Lin ft. vanity</t>
  </si>
  <si>
    <t># of fire pl</t>
  </si>
  <si>
    <t>Fire places</t>
  </si>
  <si>
    <t>Fire place facing</t>
  </si>
  <si>
    <t># of Int passage dr.</t>
  </si>
  <si>
    <t>EXTERIOR &amp; ENCLOSURE</t>
  </si>
  <si>
    <t xml:space="preserve">Insulation walls </t>
  </si>
  <si>
    <t>INT FINISHES</t>
  </si>
  <si>
    <t>Shower glass</t>
  </si>
  <si>
    <t>Mirrors</t>
  </si>
  <si>
    <t>Bath hardware</t>
  </si>
  <si>
    <t># of 1/2  bath</t>
  </si>
  <si>
    <t># of full bath</t>
  </si>
  <si>
    <t>Vanity Cabinets allowance</t>
  </si>
  <si>
    <t xml:space="preserve">Rough-in wiring </t>
  </si>
  <si>
    <t>per bath</t>
  </si>
  <si>
    <t>Lin. Ft. int railing</t>
  </si>
  <si>
    <t>Interior Railing</t>
  </si>
  <si>
    <t>Home clean</t>
  </si>
  <si>
    <t>General Labour</t>
  </si>
  <si>
    <t xml:space="preserve">                             TOTAL PROJECTED HARD COST</t>
  </si>
  <si>
    <t xml:space="preserve">         Total inc General Req</t>
  </si>
  <si>
    <t>GST</t>
  </si>
  <si>
    <t xml:space="preserve">               Total with GST</t>
  </si>
  <si>
    <t>SUB STRUCTUER</t>
  </si>
  <si>
    <t>Category cost</t>
  </si>
  <si>
    <t>Per sq. ft.</t>
  </si>
  <si>
    <t>SUMMARY REPORT</t>
  </si>
  <si>
    <t># of Furnaces</t>
  </si>
  <si>
    <t>hot w tank</t>
  </si>
  <si>
    <t xml:space="preserve">windows units </t>
  </si>
  <si>
    <t>per rise</t>
  </si>
  <si>
    <t>Patio slab</t>
  </si>
  <si>
    <t>per sq. ft</t>
  </si>
  <si>
    <t>SUMMARY PER FLOOR LEVEL</t>
  </si>
  <si>
    <t xml:space="preserve">Credit back plans cost </t>
  </si>
  <si>
    <t>credit back plans cost</t>
  </si>
  <si>
    <t xml:space="preserve">Net after plan credit </t>
  </si>
  <si>
    <t>Foundation footings &amp; walls concrete</t>
  </si>
  <si>
    <t>(A full tender process is required for a firm quote)</t>
  </si>
  <si>
    <t>Garage sq. ft.</t>
  </si>
  <si>
    <t>Basement Development sq. ft.</t>
  </si>
  <si>
    <t>Framing Lumber basement dev.</t>
  </si>
  <si>
    <t xml:space="preserve">Cultured stone </t>
  </si>
  <si>
    <t>Kitchen Cabinets allowance</t>
  </si>
  <si>
    <t>Main service breaker panel</t>
  </si>
  <si>
    <t xml:space="preserve">Basement development </t>
  </si>
  <si>
    <r>
      <rPr>
        <sz val="11"/>
        <color rgb="FFC00000"/>
        <rFont val="Arial Black"/>
        <family val="2"/>
      </rPr>
      <t xml:space="preserve">NOTE: </t>
    </r>
    <r>
      <rPr>
        <b/>
        <sz val="11"/>
        <color rgb="FFC00000"/>
        <rFont val="Calibri"/>
        <family val="2"/>
        <scheme val="minor"/>
      </rPr>
      <t xml:space="preserve">THIS IS </t>
    </r>
    <r>
      <rPr>
        <b/>
        <u/>
        <sz val="11"/>
        <color rgb="FFC00000"/>
        <rFont val="Calibri"/>
        <family val="2"/>
        <scheme val="minor"/>
      </rPr>
      <t>NOT</t>
    </r>
    <r>
      <rPr>
        <b/>
        <sz val="11"/>
        <color rgb="FFC00000"/>
        <rFont val="Calibri"/>
        <family val="2"/>
        <scheme val="minor"/>
      </rPr>
      <t xml:space="preserve"> A QUOTE, </t>
    </r>
  </si>
  <si>
    <t>Walk-out basement &amp; patio slabs</t>
  </si>
  <si>
    <t xml:space="preserve">Servicing or Rural acreage cost </t>
  </si>
  <si>
    <t>Construction Budget for Mr. &amp; Mrs.  Two story/Bungalow with developed basement</t>
  </si>
  <si>
    <t>Builtin cabinets</t>
  </si>
  <si>
    <t xml:space="preserve">Tile work &amp; backsplash </t>
  </si>
  <si>
    <t>sq. ft. tile</t>
  </si>
  <si>
    <t>sq ft cpunter T</t>
  </si>
  <si>
    <t>sq. ft. home</t>
  </si>
  <si>
    <t>sq. ft. main fl</t>
  </si>
  <si>
    <t>sq.ft. main fl</t>
  </si>
  <si>
    <t>sq. ft. mian + Gar</t>
  </si>
  <si>
    <t>sq. ft. garage</t>
  </si>
  <si>
    <t>sq. ft. deck</t>
  </si>
  <si>
    <t>sq. ft. basement</t>
  </si>
  <si>
    <t>sq. ft. attic area</t>
  </si>
  <si>
    <t>sq. ft. 1st &amp; 2nd fl</t>
  </si>
  <si>
    <t>sq. ft. walls</t>
  </si>
  <si>
    <t>sq. ft. stone area</t>
  </si>
  <si>
    <t>% sq. ft. roof area</t>
  </si>
  <si>
    <t>sq. ft. home garage</t>
  </si>
  <si>
    <t>sq. ft. walls formul</t>
  </si>
  <si>
    <t xml:space="preserve">sq. ft. roof area </t>
  </si>
  <si>
    <t>sq. ft. porch</t>
  </si>
  <si>
    <t>sq. ft. slab</t>
  </si>
  <si>
    <t>sq. ft. all floors</t>
  </si>
  <si>
    <t>sq ft all floors</t>
  </si>
  <si>
    <t>sq ft basment</t>
  </si>
  <si>
    <t xml:space="preserve">To Use this calculator fill in green cells </t>
  </si>
  <si>
    <t>See Summarry on Sheet 2</t>
  </si>
  <si>
    <t>Other Work</t>
  </si>
  <si>
    <t>type</t>
  </si>
  <si>
    <t>Unit</t>
  </si>
  <si>
    <t>Site supervisison</t>
  </si>
  <si>
    <t>General overhead Requirements</t>
  </si>
  <si>
    <t>ROUGH CONSTRUCTION BUDGET ESITMATE</t>
  </si>
  <si>
    <r>
      <t xml:space="preserve">This calculator is NOT to be deemed an accurate method of determining a "final building cost" as every custom home can be very different in design and overall specifications.  </t>
    </r>
    <r>
      <rPr>
        <sz val="11"/>
        <rFont val="Calibri"/>
        <family val="2"/>
        <scheme val="minor"/>
      </rPr>
      <t>The numbers generated</t>
    </r>
  </si>
  <si>
    <r>
      <rPr>
        <b/>
        <sz val="14"/>
        <color theme="1"/>
        <rFont val="Calibri"/>
        <family val="2"/>
        <scheme val="minor"/>
      </rPr>
      <t>NOTE</t>
    </r>
    <r>
      <rPr>
        <sz val="11"/>
        <color theme="1"/>
        <rFont val="Calibri"/>
        <family val="2"/>
        <scheme val="minor"/>
      </rPr>
      <t>: This Construction Budget Estimator has been designed as an "assistance tool" to help our clients set a realistic budget based on having roughed out preliminary plans in place.</t>
    </r>
  </si>
  <si>
    <t xml:space="preserve">by this FREE Excel based spread sheet are based on a combination of AVERAGE data from our past built homes, CHMC data, and BTY Group data, which may or may not represent any "actual </t>
  </si>
  <si>
    <r>
      <t xml:space="preserve">cost"  The user agrees and understands that this data is a </t>
    </r>
    <r>
      <rPr>
        <b/>
        <u/>
        <sz val="11"/>
        <color theme="1"/>
        <rFont val="Calibri"/>
        <family val="2"/>
        <scheme val="minor"/>
      </rPr>
      <t>rough estimate only</t>
    </r>
    <r>
      <rPr>
        <sz val="11"/>
        <color theme="1"/>
        <rFont val="Calibri"/>
        <family val="2"/>
        <scheme val="minor"/>
      </rPr>
      <t xml:space="preserve">, and further understand that this spreadsheet report is </t>
    </r>
    <r>
      <rPr>
        <b/>
        <sz val="11"/>
        <color theme="1"/>
        <rFont val="Calibri"/>
        <family val="2"/>
        <scheme val="minor"/>
      </rPr>
      <t xml:space="preserve">NOT </t>
    </r>
    <r>
      <rPr>
        <sz val="11"/>
        <color theme="1"/>
        <rFont val="Calibri"/>
        <family val="2"/>
        <scheme val="minor"/>
      </rPr>
      <t>a quote, and further understands that in order to</t>
    </r>
  </si>
  <si>
    <t>attain a more accurate price/quote, that a full tender/bid process would be required by a qualified experienced builder.</t>
  </si>
  <si>
    <t>DISCLAMER</t>
  </si>
  <si>
    <t>COPYRIGHT NOTICE</t>
  </si>
  <si>
    <r>
      <t xml:space="preserve">This Landen Design Build </t>
    </r>
    <r>
      <rPr>
        <sz val="11"/>
        <color theme="1"/>
        <rFont val="Calibri"/>
        <family val="2"/>
        <scheme val="minor"/>
      </rPr>
      <t>(Landen)</t>
    </r>
    <r>
      <rPr>
        <b/>
        <sz val="11"/>
        <color theme="1"/>
        <rFont val="Calibri"/>
        <family val="2"/>
        <scheme val="minor"/>
      </rPr>
      <t xml:space="preserve"> calculator is copyright protected, and is only athourized to be used by private potential Landen Clients, any use of this calculator by another builder or contractor </t>
    </r>
  </si>
  <si>
    <t xml:space="preserve">is strictly prohibited, whereby Landen will use what ever legal means available by law to prosecute ANY copyright infringement, if you have any questions you can contact Landen at 403-619-4734 </t>
  </si>
  <si>
    <t>LUMBER TOTAL</t>
  </si>
  <si>
    <t xml:space="preserve">Budget </t>
  </si>
  <si>
    <t>Difference</t>
  </si>
  <si>
    <t>FRAMING LABOUR</t>
  </si>
  <si>
    <t xml:space="preserve">ELECTRICAL </t>
  </si>
  <si>
    <t>PLUMBING</t>
  </si>
  <si>
    <t>DRYWALL</t>
  </si>
  <si>
    <t>FINISHING LABOUR</t>
  </si>
  <si>
    <t>per shelf</t>
  </si>
  <si>
    <t>Closet selfs materials</t>
  </si>
  <si>
    <t>Closet selfs labour</t>
  </si>
  <si>
    <t>Closet shelf labour</t>
  </si>
  <si>
    <t>Actual cost</t>
  </si>
  <si>
    <t>CABINETS</t>
  </si>
  <si>
    <t xml:space="preserve">     Date    2021</t>
  </si>
  <si>
    <t xml:space="preserve">Although every effort has been made to come up with a calculator to help give you as accurate an "Rough Estimate" of construction  cost possible, the user understands these are average cost #'s </t>
  </si>
  <si>
    <t>Incl all fl. levels</t>
  </si>
  <si>
    <t xml:space="preserve">To used this part of the calculator fill in the green cells with actual cost, the lumber section shows an example  </t>
  </si>
  <si>
    <t>EXTERIOR WORK</t>
  </si>
  <si>
    <r>
      <t>SUMMARY OF KEY COST</t>
    </r>
    <r>
      <rPr>
        <sz val="11"/>
        <color theme="1"/>
        <rFont val="Arial"/>
        <family val="2"/>
      </rPr>
      <t xml:space="preserve"> (C/W  over/under tracker)</t>
    </r>
  </si>
  <si>
    <t>Total budget from sheet 1</t>
  </si>
  <si>
    <t>Balance of project budget/cost</t>
  </si>
  <si>
    <t>Over/under budget</t>
  </si>
  <si>
    <t>Insert bal of  cost</t>
  </si>
  <si>
    <t>Cost to date</t>
  </si>
  <si>
    <t>Projected cost to complete</t>
  </si>
  <si>
    <t xml:space="preserve">Total KEY budget items </t>
  </si>
  <si>
    <t>Actual cost to date</t>
  </si>
  <si>
    <t>KEY cost to comp.</t>
  </si>
  <si>
    <t>same, the only thing changing is the RAW areas values, that’s why there are certain "Sweet spots"</t>
  </si>
  <si>
    <r>
      <rPr>
        <b/>
        <sz val="11"/>
        <color theme="1"/>
        <rFont val="Calibri"/>
        <family val="2"/>
        <scheme val="minor"/>
      </rPr>
      <t>NOTE:</t>
    </r>
    <r>
      <rPr>
        <sz val="11"/>
        <color theme="1"/>
        <rFont val="Calibri"/>
        <family val="2"/>
        <scheme val="minor"/>
      </rPr>
      <t xml:space="preserve">  After filling out this calculator, see how the per sq. ft. cell number changes, if you simply </t>
    </r>
  </si>
  <si>
    <t>but the per. Sq. ft. building cost rate can vary greatly!</t>
  </si>
  <si>
    <t>House Main 1st &amp; 2nd floor only inc garage</t>
  </si>
  <si>
    <t xml:space="preserve">NET BUILDING COST </t>
  </si>
  <si>
    <t xml:space="preserve"> this is that many of the exact same items like windows, cabinets, bathrooms etc. are all still the</t>
  </si>
  <si>
    <t>of overall home size "on a per. Sq. ft. basis"  where the overall home price will change up or down</t>
  </si>
  <si>
    <r>
      <t xml:space="preserve"> modify  the base sq. ft. input values, see also our eBook</t>
    </r>
    <r>
      <rPr>
        <b/>
        <sz val="11"/>
        <rFont val="Calibri"/>
        <family val="2"/>
        <scheme val="minor"/>
      </rPr>
      <t xml:space="preserve"> Debunking the sq. ft. Myth.  </t>
    </r>
    <r>
      <rPr>
        <sz val="11"/>
        <rFont val="Calibri"/>
        <family val="2"/>
        <scheme val="minor"/>
      </rPr>
      <t xml:space="preserve">The reason for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</si>
</sst>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_(&quot;$&quot;* #,##0.00_);_(&quot;$&quot;* \(#,##0.00\);_(&quot;$&quot;* &quot;-&quot;??_);_(@_)"/>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Arial"/>
      <family val="2"/>
    </font>
    <font>
      <sz val="12"/>
      <color theme="1"/>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
      <b/>
      <sz val="18"/>
      <color theme="0"/>
      <name val="Calibri"/>
      <family val="2"/>
      <scheme val="minor"/>
    </font>
    <font>
      <b/>
      <sz val="20"/>
      <color theme="1"/>
      <name val="Calibri"/>
      <family val="2"/>
      <scheme val="minor"/>
    </font>
    <font>
      <b/>
      <sz val="16"/>
      <color theme="1"/>
      <name val="Calibri"/>
      <family val="2"/>
      <scheme val="minor"/>
    </font>
    <font>
      <b/>
      <sz val="24"/>
      <color theme="3" tint="-0.249977111117893"/>
      <name val="Arial"/>
      <family val="2"/>
    </font>
    <font>
      <b/>
      <sz val="24"/>
      <color theme="3" tint="-0.249977111117893"/>
      <name val="Chief Blueprint"/>
    </font>
    <font>
      <sz val="24"/>
      <color theme="3" tint="-0.249977111117893"/>
      <name val="Arial Black"/>
      <family val="2"/>
    </font>
    <font>
      <sz val="11"/>
      <name val="Calibri"/>
      <family val="2"/>
      <scheme val="minor"/>
    </font>
    <font>
      <b/>
      <sz val="14"/>
      <color rgb="FFC00000"/>
      <name val="Calibri"/>
      <family val="2"/>
      <scheme val="minor"/>
    </font>
    <font>
      <b/>
      <u/>
      <sz val="20"/>
      <color rgb="FFC00000"/>
      <name val="Calibri"/>
      <family val="2"/>
      <scheme val="minor"/>
    </font>
    <font>
      <b/>
      <sz val="11"/>
      <color rgb="FFC00000"/>
      <name val="Calibri"/>
      <family val="2"/>
      <scheme val="minor"/>
    </font>
    <font>
      <b/>
      <sz val="11"/>
      <color theme="3"/>
      <name val="Calibri"/>
      <family val="2"/>
      <scheme val="minor"/>
    </font>
    <font>
      <b/>
      <sz val="10"/>
      <color theme="1"/>
      <name val="Calibri"/>
      <family val="2"/>
      <scheme val="minor"/>
    </font>
    <font>
      <b/>
      <sz val="11"/>
      <name val="Calibri"/>
      <family val="2"/>
      <scheme val="minor"/>
    </font>
    <font>
      <b/>
      <sz val="11"/>
      <color theme="1"/>
      <name val="Arial Black"/>
      <family val="2"/>
    </font>
    <font>
      <sz val="11"/>
      <color theme="1"/>
      <name val="Arial Black"/>
      <family val="2"/>
    </font>
    <font>
      <b/>
      <u/>
      <sz val="11"/>
      <color theme="1"/>
      <name val="Calibri"/>
      <family val="2"/>
      <scheme val="minor"/>
    </font>
    <font>
      <sz val="11"/>
      <color theme="4" tint="-0.249977111117893"/>
      <name val="Calibri"/>
      <family val="2"/>
      <scheme val="minor"/>
    </font>
    <font>
      <b/>
      <sz val="11"/>
      <color theme="4" tint="-0.249977111117893"/>
      <name val="Calibri"/>
      <family val="2"/>
      <scheme val="minor"/>
    </font>
    <font>
      <sz val="10"/>
      <color theme="1"/>
      <name val="Calibri"/>
      <family val="2"/>
      <scheme val="minor"/>
    </font>
    <font>
      <sz val="12"/>
      <name val="Calibri"/>
      <family val="2"/>
      <scheme val="minor"/>
    </font>
    <font>
      <b/>
      <sz val="12"/>
      <name val="Calibri"/>
      <family val="2"/>
      <scheme val="minor"/>
    </font>
    <font>
      <sz val="11"/>
      <color rgb="FFC00000"/>
      <name val="Calibri"/>
      <family val="2"/>
      <scheme val="minor"/>
    </font>
    <font>
      <b/>
      <sz val="12"/>
      <color rgb="FFC00000"/>
      <name val="Calibri"/>
      <family val="2"/>
      <scheme val="minor"/>
    </font>
    <font>
      <sz val="11"/>
      <color theme="3"/>
      <name val="Calibri"/>
      <family val="2"/>
      <scheme val="minor"/>
    </font>
    <font>
      <sz val="11"/>
      <color rgb="FFC00000"/>
      <name val="Arial Black"/>
      <family val="2"/>
    </font>
    <font>
      <b/>
      <u/>
      <sz val="11"/>
      <color rgb="FFC00000"/>
      <name val="Calibri"/>
      <family val="2"/>
      <scheme val="minor"/>
    </font>
    <font>
      <sz val="9"/>
      <color indexed="81"/>
      <name val="Tahoma"/>
      <family val="2"/>
    </font>
    <font>
      <b/>
      <sz val="9"/>
      <color indexed="81"/>
      <name val="Tahoma"/>
      <family val="2"/>
    </font>
    <font>
      <b/>
      <sz val="9"/>
      <color theme="6" tint="-0.499984740745262"/>
      <name val="Arial"/>
      <family val="2"/>
    </font>
  </fonts>
  <fills count="5">
    <fill>
      <patternFill patternType="none"/>
    </fill>
    <fill>
      <patternFill patternType="gray125"/>
    </fill>
    <fill>
      <patternFill patternType="solid">
        <fgColor theme="3"/>
        <bgColor indexed="64"/>
      </patternFill>
    </fill>
    <fill>
      <patternFill patternType="solid">
        <fgColor theme="6" tint="0.59999389629810485"/>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63">
    <xf numFmtId="0" fontId="0" fillId="0" borderId="0" xfId="0"/>
    <xf numFmtId="44" fontId="0" fillId="0" borderId="0" xfId="0" applyNumberFormat="1"/>
    <xf numFmtId="0" fontId="0" fillId="0" borderId="0" xfId="0" applyAlignment="1">
      <alignment horizontal="center"/>
    </xf>
    <xf numFmtId="0" fontId="0" fillId="2" borderId="4" xfId="0" applyFill="1" applyBorder="1"/>
    <xf numFmtId="3" fontId="0" fillId="0" borderId="5" xfId="0" applyNumberFormat="1" applyBorder="1"/>
    <xf numFmtId="0" fontId="0" fillId="0" borderId="5" xfId="0" applyBorder="1"/>
    <xf numFmtId="0" fontId="0" fillId="2" borderId="5" xfId="0" applyFill="1" applyBorder="1"/>
    <xf numFmtId="164" fontId="0" fillId="0" borderId="5" xfId="1" applyNumberFormat="1" applyFont="1" applyBorder="1"/>
    <xf numFmtId="0" fontId="2" fillId="2" borderId="5" xfId="0" applyFont="1" applyFill="1" applyBorder="1"/>
    <xf numFmtId="44" fontId="0" fillId="0" borderId="5" xfId="0" applyNumberFormat="1" applyBorder="1"/>
    <xf numFmtId="44" fontId="0" fillId="0" borderId="6" xfId="0" applyNumberFormat="1" applyBorder="1"/>
    <xf numFmtId="44" fontId="0" fillId="0" borderId="5" xfId="2" applyFont="1" applyBorder="1"/>
    <xf numFmtId="44" fontId="0" fillId="2" borderId="5" xfId="2" applyFont="1" applyFill="1" applyBorder="1"/>
    <xf numFmtId="0" fontId="0" fillId="2" borderId="7" xfId="0" applyFill="1" applyBorder="1"/>
    <xf numFmtId="44" fontId="0" fillId="0" borderId="8" xfId="2" applyFont="1" applyBorder="1"/>
    <xf numFmtId="44" fontId="0" fillId="2" borderId="8" xfId="2" applyFont="1" applyFill="1" applyBorder="1"/>
    <xf numFmtId="0" fontId="0" fillId="2" borderId="8" xfId="0" applyFill="1" applyBorder="1"/>
    <xf numFmtId="0" fontId="2" fillId="2" borderId="8" xfId="0" applyFont="1" applyFill="1" applyBorder="1"/>
    <xf numFmtId="44" fontId="0" fillId="2" borderId="5" xfId="0" applyNumberFormat="1" applyFill="1" applyBorder="1"/>
    <xf numFmtId="44" fontId="2" fillId="2" borderId="4" xfId="2" applyFont="1" applyFill="1" applyBorder="1"/>
    <xf numFmtId="44" fontId="2" fillId="2" borderId="5" xfId="2" applyFont="1" applyFill="1" applyBorder="1"/>
    <xf numFmtId="44" fontId="2" fillId="2" borderId="5" xfId="0" applyNumberFormat="1" applyFont="1" applyFill="1" applyBorder="1"/>
    <xf numFmtId="0" fontId="0" fillId="0" borderId="6" xfId="0" applyBorder="1"/>
    <xf numFmtId="44" fontId="3" fillId="0" borderId="5" xfId="2" applyFont="1" applyBorder="1"/>
    <xf numFmtId="0" fontId="0" fillId="2" borderId="4" xfId="0" applyFill="1" applyBorder="1" applyAlignment="1">
      <alignment horizontal="center"/>
    </xf>
    <xf numFmtId="0" fontId="0" fillId="0" borderId="5" xfId="0" applyBorder="1" applyAlignment="1">
      <alignment horizontal="center"/>
    </xf>
    <xf numFmtId="0" fontId="0" fillId="2" borderId="5" xfId="0" applyFill="1" applyBorder="1" applyAlignment="1">
      <alignment horizontal="center"/>
    </xf>
    <xf numFmtId="2" fontId="0" fillId="0" borderId="5" xfId="0" applyNumberFormat="1" applyBorder="1" applyAlignment="1">
      <alignment horizontal="center"/>
    </xf>
    <xf numFmtId="0" fontId="2" fillId="2" borderId="4" xfId="0" applyFont="1" applyFill="1" applyBorder="1"/>
    <xf numFmtId="9" fontId="0" fillId="0" borderId="8" xfId="0" applyNumberFormat="1" applyBorder="1"/>
    <xf numFmtId="9" fontId="0" fillId="0" borderId="9" xfId="0" applyNumberFormat="1" applyBorder="1"/>
    <xf numFmtId="0" fontId="0" fillId="0" borderId="13" xfId="0" applyBorder="1"/>
    <xf numFmtId="3" fontId="0" fillId="0" borderId="5" xfId="0" applyNumberFormat="1" applyFill="1" applyBorder="1"/>
    <xf numFmtId="10" fontId="2" fillId="2" borderId="11" xfId="0" applyNumberFormat="1" applyFont="1" applyFill="1" applyBorder="1"/>
    <xf numFmtId="0" fontId="0" fillId="0" borderId="14" xfId="0" applyBorder="1"/>
    <xf numFmtId="10" fontId="2" fillId="2" borderId="14" xfId="0" applyNumberFormat="1" applyFont="1" applyFill="1" applyBorder="1"/>
    <xf numFmtId="0" fontId="2" fillId="0" borderId="8" xfId="0" applyFont="1" applyFill="1" applyBorder="1"/>
    <xf numFmtId="0" fontId="0" fillId="0" borderId="0" xfId="0" applyBorder="1"/>
    <xf numFmtId="44" fontId="0" fillId="0" borderId="8" xfId="2" applyFont="1" applyFill="1" applyBorder="1"/>
    <xf numFmtId="44" fontId="0" fillId="0" borderId="5" xfId="2" applyFont="1" applyFill="1" applyBorder="1"/>
    <xf numFmtId="44" fontId="2" fillId="0" borderId="5" xfId="2" applyFont="1" applyFill="1" applyBorder="1"/>
    <xf numFmtId="10" fontId="2" fillId="0" borderId="14" xfId="0" applyNumberFormat="1" applyFont="1" applyFill="1" applyBorder="1"/>
    <xf numFmtId="0" fontId="0" fillId="0" borderId="0" xfId="0" applyBorder="1" applyAlignment="1">
      <alignment horizontal="center"/>
    </xf>
    <xf numFmtId="10" fontId="2" fillId="2" borderId="4" xfId="0" applyNumberFormat="1" applyFont="1" applyFill="1" applyBorder="1"/>
    <xf numFmtId="2" fontId="0" fillId="2" borderId="4" xfId="0" applyNumberFormat="1" applyFill="1" applyBorder="1"/>
    <xf numFmtId="0" fontId="10" fillId="2" borderId="1" xfId="0" applyFont="1" applyFill="1" applyBorder="1"/>
    <xf numFmtId="0" fontId="10" fillId="2" borderId="2" xfId="0" applyFont="1" applyFill="1" applyBorder="1"/>
    <xf numFmtId="0" fontId="10" fillId="2" borderId="12" xfId="0" applyFont="1" applyFill="1" applyBorder="1"/>
    <xf numFmtId="44" fontId="10" fillId="2" borderId="2" xfId="0" applyNumberFormat="1" applyFont="1" applyFill="1" applyBorder="1"/>
    <xf numFmtId="9" fontId="10" fillId="2" borderId="3" xfId="0" applyNumberFormat="1" applyFont="1" applyFill="1" applyBorder="1"/>
    <xf numFmtId="0" fontId="9" fillId="0" borderId="0" xfId="0" applyFont="1"/>
    <xf numFmtId="0" fontId="0" fillId="0" borderId="0" xfId="0" applyFill="1"/>
    <xf numFmtId="44" fontId="0" fillId="0" borderId="6" xfId="2" applyFont="1" applyBorder="1"/>
    <xf numFmtId="0" fontId="11" fillId="0" borderId="0" xfId="0" applyFont="1"/>
    <xf numFmtId="44" fontId="3" fillId="0" borderId="0" xfId="0" applyNumberFormat="1" applyFont="1"/>
    <xf numFmtId="0" fontId="2" fillId="0" borderId="0" xfId="0" applyFont="1" applyFill="1" applyBorder="1"/>
    <xf numFmtId="0" fontId="3" fillId="0" borderId="0" xfId="0" applyFont="1"/>
    <xf numFmtId="0" fontId="0" fillId="0" borderId="0" xfId="0" applyFill="1" applyBorder="1" applyAlignment="1">
      <alignment horizontal="right"/>
    </xf>
    <xf numFmtId="9" fontId="0" fillId="0" borderId="0" xfId="0" applyNumberFormat="1" applyBorder="1" applyAlignment="1">
      <alignment horizontal="center"/>
    </xf>
    <xf numFmtId="165" fontId="6" fillId="0" borderId="0" xfId="0" applyNumberFormat="1" applyFont="1" applyBorder="1"/>
    <xf numFmtId="0" fontId="9" fillId="0" borderId="0" xfId="0" applyFont="1" applyBorder="1"/>
    <xf numFmtId="165" fontId="9" fillId="0" borderId="0" xfId="0" applyNumberFormat="1" applyFont="1" applyBorder="1"/>
    <xf numFmtId="0" fontId="3" fillId="0" borderId="0" xfId="0" applyFont="1" applyBorder="1"/>
    <xf numFmtId="165" fontId="8" fillId="0" borderId="0" xfId="0" applyNumberFormat="1" applyFont="1" applyFill="1" applyBorder="1"/>
    <xf numFmtId="165" fontId="9" fillId="0" borderId="0" xfId="0" applyNumberFormat="1" applyFont="1" applyFill="1" applyBorder="1"/>
    <xf numFmtId="10" fontId="0" fillId="0" borderId="0" xfId="0" applyNumberFormat="1" applyBorder="1"/>
    <xf numFmtId="44" fontId="0" fillId="0" borderId="8" xfId="2" applyFont="1" applyBorder="1" applyProtection="1">
      <protection locked="0"/>
    </xf>
    <xf numFmtId="44" fontId="0" fillId="0" borderId="5" xfId="2" applyFont="1" applyFill="1" applyBorder="1" applyProtection="1">
      <protection locked="0"/>
    </xf>
    <xf numFmtId="0" fontId="13" fillId="0" borderId="0" xfId="0" applyFont="1"/>
    <xf numFmtId="0" fontId="3" fillId="0" borderId="0" xfId="0" applyFont="1" applyAlignment="1">
      <alignment horizontal="center"/>
    </xf>
    <xf numFmtId="44" fontId="0" fillId="0" borderId="8" xfId="0" applyNumberFormat="1" applyBorder="1"/>
    <xf numFmtId="44" fontId="3" fillId="0" borderId="7" xfId="0" applyNumberFormat="1" applyFont="1" applyBorder="1"/>
    <xf numFmtId="0" fontId="3" fillId="0" borderId="10" xfId="0" applyFont="1" applyBorder="1" applyAlignment="1">
      <alignment horizontal="center"/>
    </xf>
    <xf numFmtId="0" fontId="3" fillId="0" borderId="11" xfId="0" applyFont="1" applyBorder="1"/>
    <xf numFmtId="44" fontId="3" fillId="0" borderId="9" xfId="0" applyNumberFormat="1" applyFont="1" applyBorder="1"/>
    <xf numFmtId="0" fontId="3" fillId="0" borderId="12" xfId="0" applyFont="1" applyBorder="1" applyAlignment="1">
      <alignment horizontal="center"/>
    </xf>
    <xf numFmtId="0" fontId="3" fillId="0" borderId="13" xfId="0" applyFont="1" applyBorder="1"/>
    <xf numFmtId="0" fontId="8" fillId="0" borderId="0" xfId="0" applyFont="1" applyFill="1" applyBorder="1"/>
    <xf numFmtId="0" fontId="0" fillId="0" borderId="0" xfId="0" applyFill="1" applyBorder="1"/>
    <xf numFmtId="0" fontId="4" fillId="0" borderId="0" xfId="0" applyFont="1" applyFill="1" applyBorder="1" applyAlignment="1">
      <alignment horizontal="right"/>
    </xf>
    <xf numFmtId="10" fontId="0" fillId="0" borderId="0" xfId="0" applyNumberFormat="1" applyFill="1" applyBorder="1"/>
    <xf numFmtId="44" fontId="0" fillId="0" borderId="0" xfId="0" applyNumberFormat="1" applyFill="1" applyBorder="1"/>
    <xf numFmtId="0" fontId="0" fillId="0" borderId="0" xfId="0" applyFill="1" applyBorder="1" applyAlignment="1">
      <alignment horizontal="center"/>
    </xf>
    <xf numFmtId="165" fontId="3" fillId="0" borderId="0" xfId="0" applyNumberFormat="1" applyFont="1" applyFill="1" applyBorder="1"/>
    <xf numFmtId="44" fontId="2" fillId="0" borderId="0" xfId="2" applyFont="1" applyFill="1" applyBorder="1"/>
    <xf numFmtId="165" fontId="0" fillId="0" borderId="0" xfId="0" applyNumberFormat="1" applyFill="1" applyBorder="1"/>
    <xf numFmtId="44" fontId="2" fillId="0" borderId="0" xfId="2" applyNumberFormat="1" applyFont="1" applyFill="1" applyBorder="1"/>
    <xf numFmtId="44" fontId="11" fillId="0" borderId="0" xfId="2" applyFont="1" applyFill="1" applyBorder="1" applyAlignment="1">
      <alignment horizontal="right"/>
    </xf>
    <xf numFmtId="165" fontId="12" fillId="0" borderId="0" xfId="0" applyNumberFormat="1" applyFont="1" applyFill="1" applyBorder="1"/>
    <xf numFmtId="9" fontId="0" fillId="0" borderId="0" xfId="0" applyNumberFormat="1" applyFill="1" applyBorder="1" applyAlignment="1">
      <alignment horizontal="center"/>
    </xf>
    <xf numFmtId="0" fontId="0" fillId="0" borderId="5" xfId="0" applyFill="1" applyBorder="1" applyAlignment="1">
      <alignment horizontal="center"/>
    </xf>
    <xf numFmtId="44" fontId="0" fillId="0" borderId="8" xfId="2" applyFont="1" applyFill="1" applyBorder="1" applyProtection="1">
      <protection locked="0"/>
    </xf>
    <xf numFmtId="3" fontId="3" fillId="0" borderId="0" xfId="0" applyNumberFormat="1" applyFont="1" applyFill="1" applyBorder="1" applyAlignment="1">
      <alignment horizontal="center"/>
    </xf>
    <xf numFmtId="0" fontId="3" fillId="0" borderId="0" xfId="0" applyFont="1" applyFill="1" applyBorder="1"/>
    <xf numFmtId="44" fontId="3" fillId="0" borderId="0" xfId="0" applyNumberFormat="1" applyFont="1" applyFill="1" applyBorder="1"/>
    <xf numFmtId="0" fontId="3" fillId="0" borderId="0" xfId="0" applyFont="1" applyFill="1" applyBorder="1" applyAlignment="1">
      <alignment horizontal="right"/>
    </xf>
    <xf numFmtId="0" fontId="10" fillId="0" borderId="0" xfId="0" applyFont="1" applyFill="1" applyBorder="1"/>
    <xf numFmtId="9" fontId="10" fillId="0" borderId="0" xfId="0" applyNumberFormat="1" applyFont="1" applyFill="1" applyBorder="1"/>
    <xf numFmtId="3" fontId="0" fillId="0" borderId="0" xfId="0" applyNumberFormat="1" applyFill="1" applyBorder="1" applyProtection="1">
      <protection locked="0"/>
    </xf>
    <xf numFmtId="0" fontId="0" fillId="0" borderId="0" xfId="0" applyFill="1" applyBorder="1" applyProtection="1">
      <protection locked="0"/>
    </xf>
    <xf numFmtId="0" fontId="7" fillId="0" borderId="0" xfId="0" applyFont="1" applyFill="1" applyBorder="1" applyAlignment="1">
      <alignment horizontal="center"/>
    </xf>
    <xf numFmtId="44" fontId="2" fillId="0" borderId="0" xfId="0" applyNumberFormat="1" applyFont="1" applyFill="1" applyBorder="1"/>
    <xf numFmtId="10" fontId="2" fillId="0" borderId="0" xfId="0" applyNumberFormat="1" applyFont="1" applyFill="1" applyBorder="1"/>
    <xf numFmtId="2" fontId="0" fillId="0" borderId="0" xfId="0" applyNumberFormat="1" applyFill="1" applyBorder="1"/>
    <xf numFmtId="44" fontId="0" fillId="0" borderId="0" xfId="2" applyFont="1" applyFill="1" applyBorder="1"/>
    <xf numFmtId="2" fontId="2" fillId="0" borderId="0" xfId="0" applyNumberFormat="1" applyFont="1" applyFill="1" applyBorder="1"/>
    <xf numFmtId="9" fontId="0" fillId="0" borderId="0" xfId="0" applyNumberFormat="1" applyFill="1" applyBorder="1"/>
    <xf numFmtId="44" fontId="10" fillId="0" borderId="0" xfId="0" applyNumberFormat="1" applyFont="1" applyFill="1" applyBorder="1"/>
    <xf numFmtId="44" fontId="10" fillId="0" borderId="0" xfId="2" applyFont="1" applyFill="1" applyBorder="1"/>
    <xf numFmtId="44" fontId="0" fillId="0" borderId="0" xfId="0" applyNumberFormat="1" applyFont="1"/>
    <xf numFmtId="0" fontId="16" fillId="0" borderId="0" xfId="0" applyFont="1" applyFill="1" applyBorder="1"/>
    <xf numFmtId="44" fontId="0" fillId="0" borderId="0" xfId="0" applyNumberFormat="1" applyFont="1" applyFill="1" applyBorder="1"/>
    <xf numFmtId="44" fontId="16" fillId="0" borderId="0" xfId="2" applyFont="1" applyFill="1" applyBorder="1"/>
    <xf numFmtId="0" fontId="17" fillId="0" borderId="0" xfId="0" applyFont="1" applyAlignment="1">
      <alignment vertical="center"/>
    </xf>
    <xf numFmtId="0" fontId="18" fillId="0" borderId="0" xfId="0" applyFont="1" applyAlignment="1">
      <alignment vertical="center"/>
    </xf>
    <xf numFmtId="0" fontId="19" fillId="0" borderId="0" xfId="0" applyFont="1"/>
    <xf numFmtId="44" fontId="19" fillId="0" borderId="0" xfId="2" applyFont="1"/>
    <xf numFmtId="44" fontId="19" fillId="0" borderId="0" xfId="0" applyNumberFormat="1" applyFont="1" applyFill="1" applyBorder="1"/>
    <xf numFmtId="44" fontId="19" fillId="0" borderId="0" xfId="0" applyNumberFormat="1" applyFont="1"/>
    <xf numFmtId="44" fontId="19" fillId="0" borderId="0" xfId="0" applyNumberFormat="1" applyFont="1" applyAlignment="1">
      <alignment vertical="center"/>
    </xf>
    <xf numFmtId="44" fontId="19" fillId="0" borderId="0" xfId="2" applyFont="1" applyAlignment="1">
      <alignment vertical="center"/>
    </xf>
    <xf numFmtId="9" fontId="3" fillId="0" borderId="0" xfId="0" applyNumberFormat="1" applyFont="1" applyFill="1" applyBorder="1"/>
    <xf numFmtId="44" fontId="8" fillId="0" borderId="0" xfId="0" applyNumberFormat="1" applyFont="1" applyFill="1" applyBorder="1"/>
    <xf numFmtId="44" fontId="9" fillId="0" borderId="0" xfId="0" applyNumberFormat="1" applyFont="1" applyFill="1" applyBorder="1"/>
    <xf numFmtId="0" fontId="0" fillId="0" borderId="8" xfId="0" applyBorder="1"/>
    <xf numFmtId="3" fontId="9" fillId="3" borderId="15" xfId="0" applyNumberFormat="1" applyFont="1" applyFill="1" applyBorder="1" applyAlignment="1" applyProtection="1">
      <alignment horizontal="center"/>
      <protection locked="0"/>
    </xf>
    <xf numFmtId="0" fontId="9" fillId="0" borderId="0" xfId="0" applyFont="1" applyBorder="1" applyAlignment="1">
      <alignment horizontal="center"/>
    </xf>
    <xf numFmtId="0" fontId="2" fillId="2" borderId="0" xfId="0" applyFont="1" applyFill="1" applyBorder="1"/>
    <xf numFmtId="3" fontId="9" fillId="4" borderId="0" xfId="0" applyNumberFormat="1" applyFont="1" applyFill="1" applyBorder="1" applyAlignment="1" applyProtection="1">
      <alignment horizontal="center"/>
      <protection locked="0"/>
    </xf>
    <xf numFmtId="0" fontId="3" fillId="0" borderId="0" xfId="0" applyFont="1" applyBorder="1" applyAlignment="1">
      <alignment horizontal="center"/>
    </xf>
    <xf numFmtId="2" fontId="0" fillId="0" borderId="8" xfId="0" applyNumberFormat="1" applyBorder="1" applyAlignment="1">
      <alignment horizontal="center"/>
    </xf>
    <xf numFmtId="44" fontId="0" fillId="0" borderId="14" xfId="2" applyFont="1" applyBorder="1"/>
    <xf numFmtId="44" fontId="0" fillId="0" borderId="0" xfId="2" applyFont="1" applyBorder="1"/>
    <xf numFmtId="0" fontId="2" fillId="2" borderId="14" xfId="0" applyFont="1" applyFill="1" applyBorder="1"/>
    <xf numFmtId="44" fontId="2" fillId="2" borderId="4" xfId="0" applyNumberFormat="1" applyFont="1" applyFill="1" applyBorder="1"/>
    <xf numFmtId="0" fontId="0" fillId="3" borderId="0" xfId="0" applyFill="1" applyBorder="1"/>
    <xf numFmtId="2" fontId="0" fillId="0" borderId="0" xfId="0" applyNumberFormat="1" applyBorder="1" applyAlignment="1">
      <alignment horizontal="center"/>
    </xf>
    <xf numFmtId="3" fontId="0" fillId="0" borderId="0" xfId="0" applyNumberFormat="1" applyFill="1" applyBorder="1"/>
    <xf numFmtId="44" fontId="0" fillId="0" borderId="0" xfId="0" applyNumberFormat="1" applyBorder="1"/>
    <xf numFmtId="2" fontId="0" fillId="0" borderId="6" xfId="0" applyNumberFormat="1" applyBorder="1" applyAlignment="1">
      <alignment horizontal="center"/>
    </xf>
    <xf numFmtId="0" fontId="0" fillId="0" borderId="6" xfId="0" applyBorder="1" applyAlignment="1">
      <alignment horizontal="center"/>
    </xf>
    <xf numFmtId="44" fontId="0" fillId="0" borderId="9" xfId="2" applyFont="1" applyBorder="1"/>
    <xf numFmtId="44" fontId="3" fillId="0" borderId="0" xfId="2" applyFont="1" applyBorder="1"/>
    <xf numFmtId="44" fontId="12" fillId="0" borderId="0" xfId="0" applyNumberFormat="1" applyFont="1" applyBorder="1"/>
    <xf numFmtId="0" fontId="0" fillId="0" borderId="0" xfId="0" applyFont="1" applyFill="1" applyBorder="1" applyAlignment="1">
      <alignment horizontal="right"/>
    </xf>
    <xf numFmtId="9" fontId="0" fillId="0" borderId="0" xfId="0" applyNumberFormat="1" applyFont="1" applyFill="1" applyBorder="1" applyAlignment="1">
      <alignment horizontal="center"/>
    </xf>
    <xf numFmtId="0" fontId="3" fillId="0" borderId="6" xfId="0" applyFont="1" applyBorder="1" applyAlignment="1">
      <alignment horizontal="center"/>
    </xf>
    <xf numFmtId="0" fontId="2" fillId="2" borderId="7" xfId="0" applyFont="1" applyFill="1" applyBorder="1"/>
    <xf numFmtId="44" fontId="17" fillId="0" borderId="0" xfId="0" applyNumberFormat="1" applyFont="1" applyBorder="1"/>
    <xf numFmtId="10" fontId="22" fillId="0" borderId="0" xfId="0" applyNumberFormat="1" applyFont="1" applyFill="1" applyBorder="1"/>
    <xf numFmtId="44" fontId="16" fillId="0" borderId="4" xfId="2" applyFont="1" applyFill="1" applyBorder="1"/>
    <xf numFmtId="44" fontId="16" fillId="0" borderId="4" xfId="0" applyNumberFormat="1" applyFont="1" applyFill="1" applyBorder="1"/>
    <xf numFmtId="10" fontId="16" fillId="0" borderId="4" xfId="0" applyNumberFormat="1" applyFont="1" applyFill="1" applyBorder="1"/>
    <xf numFmtId="44" fontId="22" fillId="0" borderId="0" xfId="2" applyFont="1" applyFill="1" applyBorder="1"/>
    <xf numFmtId="0" fontId="2" fillId="2" borderId="6" xfId="0" applyFont="1" applyFill="1" applyBorder="1"/>
    <xf numFmtId="44" fontId="16" fillId="0" borderId="5" xfId="2" applyFont="1" applyFill="1" applyBorder="1"/>
    <xf numFmtId="44" fontId="16" fillId="0" borderId="6" xfId="2" applyFont="1" applyFill="1" applyBorder="1"/>
    <xf numFmtId="44" fontId="16" fillId="0" borderId="5" xfId="0" applyNumberFormat="1" applyFont="1" applyFill="1" applyBorder="1"/>
    <xf numFmtId="44" fontId="16" fillId="0" borderId="6" xfId="0" applyNumberFormat="1" applyFont="1" applyFill="1" applyBorder="1"/>
    <xf numFmtId="10" fontId="16" fillId="0" borderId="5" xfId="0" applyNumberFormat="1" applyFont="1" applyFill="1" applyBorder="1"/>
    <xf numFmtId="10" fontId="16" fillId="0" borderId="6" xfId="0" applyNumberFormat="1" applyFont="1" applyFill="1" applyBorder="1"/>
    <xf numFmtId="0" fontId="23" fillId="0" borderId="0" xfId="0" applyFont="1"/>
    <xf numFmtId="0" fontId="0" fillId="3" borderId="5" xfId="0" applyFill="1" applyBorder="1" applyProtection="1">
      <protection locked="0"/>
    </xf>
    <xf numFmtId="0" fontId="0" fillId="3" borderId="5" xfId="0" applyFill="1" applyBorder="1"/>
    <xf numFmtId="44" fontId="0" fillId="3" borderId="8" xfId="2" applyFont="1" applyFill="1" applyBorder="1" applyProtection="1">
      <protection locked="0"/>
    </xf>
    <xf numFmtId="44" fontId="20" fillId="0" borderId="0" xfId="0" applyNumberFormat="1" applyFont="1" applyFill="1" applyBorder="1"/>
    <xf numFmtId="44" fontId="26" fillId="0" borderId="0" xfId="0" applyNumberFormat="1" applyFont="1" applyFill="1" applyBorder="1"/>
    <xf numFmtId="44" fontId="27" fillId="0" borderId="0" xfId="0" applyNumberFormat="1" applyFont="1" applyFill="1" applyBorder="1" applyAlignment="1">
      <alignment horizontal="center"/>
    </xf>
    <xf numFmtId="0" fontId="22" fillId="0" borderId="0" xfId="0" applyFont="1" applyFill="1" applyBorder="1"/>
    <xf numFmtId="44" fontId="6" fillId="0" borderId="0" xfId="0" applyNumberFormat="1" applyFont="1" applyFill="1" applyBorder="1"/>
    <xf numFmtId="44" fontId="6" fillId="0" borderId="0" xfId="2" applyFont="1" applyFill="1" applyBorder="1"/>
    <xf numFmtId="44" fontId="29" fillId="0" borderId="0" xfId="2" applyFont="1" applyFill="1" applyBorder="1"/>
    <xf numFmtId="44" fontId="29" fillId="0" borderId="0" xfId="0" applyNumberFormat="1" applyFont="1" applyFill="1" applyBorder="1"/>
    <xf numFmtId="3" fontId="6" fillId="0" borderId="0" xfId="0" applyNumberFormat="1" applyFont="1" applyFill="1" applyBorder="1" applyProtection="1">
      <protection locked="0"/>
    </xf>
    <xf numFmtId="44" fontId="30" fillId="0" borderId="15" xfId="2" applyFont="1" applyFill="1" applyBorder="1"/>
    <xf numFmtId="0" fontId="19" fillId="0" borderId="0" xfId="0" applyFont="1" applyFill="1" applyBorder="1" applyAlignment="1">
      <alignment horizontal="center"/>
    </xf>
    <xf numFmtId="44" fontId="19" fillId="0" borderId="0" xfId="0" applyNumberFormat="1" applyFont="1" applyFill="1" applyBorder="1" applyAlignment="1">
      <alignment horizontal="center"/>
    </xf>
    <xf numFmtId="44" fontId="32" fillId="0" borderId="0" xfId="2" applyFont="1" applyFill="1" applyBorder="1"/>
    <xf numFmtId="44" fontId="33" fillId="0" borderId="0" xfId="0" applyNumberFormat="1" applyFont="1" applyFill="1" applyBorder="1"/>
    <xf numFmtId="0" fontId="20" fillId="0" borderId="0" xfId="0" applyFont="1" applyFill="1" applyBorder="1"/>
    <xf numFmtId="0" fontId="20" fillId="0" borderId="0" xfId="0" applyFont="1" applyFill="1" applyBorder="1" applyAlignment="1">
      <alignment horizontal="center"/>
    </xf>
    <xf numFmtId="0" fontId="3" fillId="0" borderId="0" xfId="0" applyFont="1" applyFill="1" applyBorder="1" applyAlignment="1">
      <alignment horizontal="center"/>
    </xf>
    <xf numFmtId="44" fontId="8" fillId="0" borderId="17" xfId="2" applyFont="1" applyFill="1" applyBorder="1"/>
    <xf numFmtId="44" fontId="6" fillId="0" borderId="18" xfId="2" applyFont="1" applyFill="1" applyBorder="1"/>
    <xf numFmtId="44" fontId="30" fillId="0" borderId="19" xfId="0" applyNumberFormat="1" applyFont="1" applyFill="1" applyBorder="1"/>
    <xf numFmtId="0" fontId="3" fillId="0" borderId="16" xfId="0" applyFont="1" applyFill="1" applyBorder="1" applyAlignment="1">
      <alignment horizontal="center"/>
    </xf>
    <xf numFmtId="0" fontId="31" fillId="0" borderId="0" xfId="0" applyFont="1"/>
    <xf numFmtId="0" fontId="32" fillId="0" borderId="0" xfId="0" applyFont="1"/>
    <xf numFmtId="44" fontId="3" fillId="0" borderId="0" xfId="0" applyNumberFormat="1" applyFont="1" applyFill="1" applyBorder="1" applyAlignment="1">
      <alignment horizontal="center"/>
    </xf>
    <xf numFmtId="3" fontId="0" fillId="3" borderId="5" xfId="0" applyNumberFormat="1" applyFill="1" applyBorder="1" applyProtection="1">
      <protection locked="0"/>
    </xf>
    <xf numFmtId="3" fontId="0" fillId="0" borderId="5" xfId="0" applyNumberFormat="1" applyFill="1" applyBorder="1" applyProtection="1"/>
    <xf numFmtId="43" fontId="0" fillId="0" borderId="5" xfId="0" applyNumberFormat="1" applyFill="1" applyBorder="1" applyProtection="1"/>
    <xf numFmtId="0" fontId="0" fillId="0" borderId="5" xfId="0" applyFill="1" applyBorder="1" applyProtection="1"/>
    <xf numFmtId="3" fontId="0" fillId="3" borderId="6" xfId="0" applyNumberFormat="1" applyFill="1" applyBorder="1" applyProtection="1">
      <protection locked="0"/>
    </xf>
    <xf numFmtId="0" fontId="3" fillId="3" borderId="1" xfId="0" applyFont="1" applyFill="1" applyBorder="1" applyAlignment="1" applyProtection="1">
      <alignment horizontal="center"/>
      <protection locked="0"/>
    </xf>
    <xf numFmtId="0" fontId="3" fillId="3" borderId="15"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3" fontId="9" fillId="4" borderId="0" xfId="0" applyNumberFormat="1" applyFont="1" applyFill="1" applyBorder="1" applyAlignment="1" applyProtection="1">
      <alignment horizontal="center"/>
    </xf>
    <xf numFmtId="0" fontId="0" fillId="3" borderId="0" xfId="0" applyFill="1" applyBorder="1" applyAlignment="1" applyProtection="1">
      <alignment horizontal="center"/>
      <protection locked="0"/>
    </xf>
    <xf numFmtId="0" fontId="0" fillId="3" borderId="6" xfId="0" applyFill="1" applyBorder="1" applyProtection="1">
      <protection locked="0"/>
    </xf>
    <xf numFmtId="1" fontId="0" fillId="3" borderId="5" xfId="0" applyNumberFormat="1" applyFill="1" applyBorder="1" applyProtection="1">
      <protection locked="0"/>
    </xf>
    <xf numFmtId="0" fontId="0" fillId="3" borderId="5" xfId="0" applyFill="1" applyBorder="1" applyAlignment="1" applyProtection="1">
      <alignment horizontal="center"/>
      <protection locked="0"/>
    </xf>
    <xf numFmtId="0" fontId="38" fillId="3" borderId="15" xfId="0" applyFont="1" applyFill="1" applyBorder="1" applyAlignment="1">
      <alignment horizontal="center"/>
    </xf>
    <xf numFmtId="0" fontId="17" fillId="0" borderId="0" xfId="0" applyFont="1"/>
    <xf numFmtId="0" fontId="9" fillId="3" borderId="1" xfId="0" applyFont="1" applyFill="1" applyBorder="1" applyProtection="1">
      <protection locked="0"/>
    </xf>
    <xf numFmtId="0" fontId="0" fillId="3" borderId="2" xfId="0" applyFill="1" applyBorder="1" applyProtection="1">
      <protection locked="0"/>
    </xf>
    <xf numFmtId="0" fontId="0" fillId="3" borderId="2" xfId="0" applyFill="1" applyBorder="1"/>
    <xf numFmtId="0" fontId="0" fillId="3" borderId="3" xfId="0" applyFill="1" applyBorder="1"/>
    <xf numFmtId="0" fontId="17" fillId="0" borderId="0" xfId="0" applyFont="1" applyFill="1" applyBorder="1"/>
    <xf numFmtId="0" fontId="0" fillId="3" borderId="1" xfId="0" applyFill="1" applyBorder="1" applyProtection="1">
      <protection locked="0"/>
    </xf>
    <xf numFmtId="164" fontId="0" fillId="0" borderId="5" xfId="1" applyNumberFormat="1" applyFont="1" applyFill="1" applyBorder="1" applyProtection="1"/>
    <xf numFmtId="164" fontId="0" fillId="0" borderId="5" xfId="1" applyNumberFormat="1" applyFont="1" applyBorder="1" applyProtection="1"/>
    <xf numFmtId="0" fontId="20" fillId="0" borderId="7" xfId="0" applyFont="1" applyBorder="1" applyAlignment="1">
      <alignment horizontal="center"/>
    </xf>
    <xf numFmtId="0" fontId="20" fillId="0" borderId="10"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9" xfId="0" applyFont="1" applyBorder="1" applyAlignment="1">
      <alignment horizontal="center"/>
    </xf>
    <xf numFmtId="0" fontId="20" fillId="0" borderId="12" xfId="0" applyFont="1" applyBorder="1" applyAlignment="1">
      <alignment horizontal="center"/>
    </xf>
    <xf numFmtId="0" fontId="20" fillId="0" borderId="13" xfId="0" applyFont="1" applyBorder="1" applyAlignment="1">
      <alignment horizontal="center"/>
    </xf>
    <xf numFmtId="3" fontId="0" fillId="0" borderId="5" xfId="0" applyNumberFormat="1" applyBorder="1" applyProtection="1"/>
    <xf numFmtId="1" fontId="0" fillId="0" borderId="5" xfId="0" applyNumberFormat="1" applyBorder="1" applyProtection="1"/>
    <xf numFmtId="0" fontId="12" fillId="0" borderId="0" xfId="0" applyFont="1"/>
    <xf numFmtId="44" fontId="0" fillId="0" borderId="12" xfId="0" applyNumberFormat="1" applyBorder="1"/>
    <xf numFmtId="44" fontId="3" fillId="3" borderId="0" xfId="0" applyNumberFormat="1" applyFont="1" applyFill="1"/>
    <xf numFmtId="44" fontId="3" fillId="3" borderId="0" xfId="2" applyFont="1" applyFill="1"/>
    <xf numFmtId="0" fontId="0" fillId="3" borderId="0" xfId="0" applyFill="1" applyBorder="1" applyProtection="1">
      <protection locked="0"/>
    </xf>
    <xf numFmtId="44" fontId="0" fillId="0" borderId="12" xfId="2" applyFont="1" applyBorder="1"/>
    <xf numFmtId="0" fontId="0" fillId="0" borderId="20" xfId="0" applyBorder="1"/>
    <xf numFmtId="0" fontId="3" fillId="0" borderId="20" xfId="0" applyFont="1" applyBorder="1"/>
    <xf numFmtId="44" fontId="3" fillId="0" borderId="0" xfId="0" applyNumberFormat="1" applyFont="1" applyBorder="1"/>
    <xf numFmtId="44" fontId="3" fillId="3" borderId="0" xfId="0" applyNumberFormat="1" applyFont="1" applyFill="1" applyBorder="1"/>
    <xf numFmtId="0" fontId="0" fillId="0" borderId="20" xfId="0" applyBorder="1" applyAlignment="1">
      <alignment horizontal="center"/>
    </xf>
    <xf numFmtId="0" fontId="24" fillId="0" borderId="0" xfId="0" applyFont="1"/>
    <xf numFmtId="44" fontId="0" fillId="3" borderId="0" xfId="2" applyFont="1" applyFill="1" applyProtection="1">
      <protection locked="0"/>
    </xf>
    <xf numFmtId="44" fontId="0" fillId="3" borderId="12" xfId="2" applyFont="1" applyFill="1" applyBorder="1" applyProtection="1">
      <protection locked="0"/>
    </xf>
    <xf numFmtId="44" fontId="0" fillId="3" borderId="0" xfId="2" applyFont="1" applyFill="1" applyBorder="1" applyProtection="1">
      <protection locked="0"/>
    </xf>
    <xf numFmtId="44" fontId="0" fillId="0" borderId="0" xfId="0" applyNumberFormat="1" applyFont="1" applyBorder="1"/>
    <xf numFmtId="44" fontId="0" fillId="0" borderId="12" xfId="0" applyNumberFormat="1" applyFont="1" applyBorder="1"/>
    <xf numFmtId="44" fontId="0" fillId="3" borderId="0" xfId="0" applyNumberFormat="1" applyFont="1" applyFill="1" applyBorder="1"/>
    <xf numFmtId="44" fontId="0" fillId="3" borderId="12" xfId="0" applyNumberFormat="1" applyFont="1" applyFill="1" applyBorder="1"/>
    <xf numFmtId="0" fontId="0" fillId="0" borderId="0" xfId="0" applyAlignment="1">
      <alignment horizontal="right"/>
    </xf>
    <xf numFmtId="0" fontId="3" fillId="0" borderId="0" xfId="0" applyFont="1" applyAlignment="1">
      <alignment horizontal="right"/>
    </xf>
    <xf numFmtId="0" fontId="0" fillId="0" borderId="0" xfId="0" applyAlignment="1" applyProtection="1">
      <alignment horizontal="right"/>
      <protection hidden="1"/>
    </xf>
    <xf numFmtId="44" fontId="0" fillId="0" borderId="0" xfId="0" applyNumberFormat="1" applyProtection="1">
      <protection hidden="1"/>
    </xf>
    <xf numFmtId="0" fontId="28" fillId="0" borderId="20" xfId="0" applyFont="1" applyBorder="1"/>
    <xf numFmtId="0" fontId="0" fillId="3" borderId="17" xfId="0" applyFill="1" applyBorder="1"/>
    <xf numFmtId="44" fontId="0" fillId="3" borderId="0" xfId="0" applyNumberFormat="1" applyFill="1" applyProtection="1">
      <protection locked="0"/>
    </xf>
    <xf numFmtId="44" fontId="0" fillId="3" borderId="19" xfId="0" applyNumberFormat="1" applyFill="1" applyBorder="1"/>
    <xf numFmtId="44" fontId="3" fillId="0" borderId="15" xfId="0" applyNumberFormat="1" applyFont="1" applyBorder="1" applyAlignment="1">
      <alignment horizontal="right"/>
    </xf>
    <xf numFmtId="44" fontId="0" fillId="3" borderId="12" xfId="0" applyNumberFormat="1" applyFill="1" applyBorder="1" applyProtection="1">
      <protection locked="0"/>
    </xf>
    <xf numFmtId="0" fontId="28" fillId="0" borderId="20" xfId="0" applyFont="1" applyBorder="1" applyAlignment="1">
      <alignment horizontal="center"/>
    </xf>
    <xf numFmtId="44" fontId="3" fillId="0" borderId="17" xfId="0" applyNumberFormat="1" applyFont="1" applyBorder="1"/>
    <xf numFmtId="44" fontId="21" fillId="0" borderId="19" xfId="0" applyNumberFormat="1" applyFont="1" applyBorder="1"/>
    <xf numFmtId="0" fontId="21" fillId="3" borderId="21" xfId="0" applyFont="1" applyFill="1" applyBorder="1"/>
    <xf numFmtId="0" fontId="3" fillId="3" borderId="22" xfId="0" applyFont="1" applyFill="1" applyBorder="1"/>
    <xf numFmtId="0" fontId="3" fillId="3" borderId="23" xfId="0" applyFont="1" applyFill="1" applyBorder="1"/>
    <xf numFmtId="44" fontId="26" fillId="0" borderId="0" xfId="0" applyNumberFormat="1" applyFont="1" applyBorder="1"/>
    <xf numFmtId="0" fontId="17" fillId="0" borderId="0" xfId="0" applyFont="1" applyBorder="1" applyAlignment="1">
      <alignment vertical="center"/>
    </xf>
    <xf numFmtId="0" fontId="19" fillId="0" borderId="0" xfId="0" applyFont="1" applyBorder="1"/>
    <xf numFmtId="44" fontId="20" fillId="0" borderId="0" xfId="0" applyNumberFormat="1" applyFont="1" applyBorder="1"/>
    <xf numFmtId="0" fontId="20" fillId="0" borderId="0" xfId="0" applyFont="1" applyBorder="1"/>
    <xf numFmtId="3" fontId="8" fillId="0" borderId="0" xfId="0" applyNumberFormat="1" applyFont="1" applyFill="1" applyBorder="1" applyAlignment="1">
      <alignment horizontal="left"/>
    </xf>
    <xf numFmtId="0" fontId="30" fillId="0" borderId="0" xfId="0" applyFont="1" applyFill="1" applyBorder="1"/>
  </cellXfs>
  <cellStyles count="3">
    <cellStyle name="Comma" xfId="1" builtinId="3"/>
    <cellStyle name="Currency" xfId="2" builtinId="4"/>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Sheet2!$B$7:$B$18</c:f>
              <c:strCache>
                <c:ptCount val="12"/>
                <c:pt idx="0">
                  <c:v>START-UP</c:v>
                </c:pt>
                <c:pt idx="1">
                  <c:v>SITE CONDITIONS &amp; RURAL COST</c:v>
                </c:pt>
                <c:pt idx="2">
                  <c:v>SUB STRUCTUER</c:v>
                </c:pt>
                <c:pt idx="3">
                  <c:v>MAIN STRUCTUER</c:v>
                </c:pt>
                <c:pt idx="4">
                  <c:v>EXTERIOR &amp; ENCLOSURE</c:v>
                </c:pt>
                <c:pt idx="5">
                  <c:v>MILLWORK &amp; DOORS</c:v>
                </c:pt>
                <c:pt idx="6">
                  <c:v>INT FINISHES</c:v>
                </c:pt>
                <c:pt idx="7">
                  <c:v>FITTINGS &amp; EQUIPMENT</c:v>
                </c:pt>
                <c:pt idx="8">
                  <c:v>MECANICAL</c:v>
                </c:pt>
                <c:pt idx="9">
                  <c:v>ELECTRICAL</c:v>
                </c:pt>
                <c:pt idx="10">
                  <c:v>ALLOWANCES</c:v>
                </c:pt>
                <c:pt idx="11">
                  <c:v>GENERAL REQ's &amp; FEES</c:v>
                </c:pt>
              </c:strCache>
            </c:strRef>
          </c:cat>
          <c:val>
            <c:numRef>
              <c:f>Sheet2!$C$7:$C$18</c:f>
              <c:numCache>
                <c:formatCode>_("$"* #,##0.00_);_("$"* \(#,##0.00\);_("$"* "-"??_);_(@_)</c:formatCode>
                <c:ptCount val="12"/>
                <c:pt idx="0">
                  <c:v>31541.66</c:v>
                </c:pt>
                <c:pt idx="1">
                  <c:v>58000</c:v>
                </c:pt>
                <c:pt idx="2">
                  <c:v>52788.633333333331</c:v>
                </c:pt>
                <c:pt idx="3">
                  <c:v>219028.07999999996</c:v>
                </c:pt>
                <c:pt idx="4">
                  <c:v>129239.76539999999</c:v>
                </c:pt>
                <c:pt idx="5">
                  <c:v>49913</c:v>
                </c:pt>
                <c:pt idx="6">
                  <c:v>48343</c:v>
                </c:pt>
                <c:pt idx="7">
                  <c:v>950</c:v>
                </c:pt>
                <c:pt idx="8">
                  <c:v>45627.5</c:v>
                </c:pt>
                <c:pt idx="9">
                  <c:v>36621.5</c:v>
                </c:pt>
                <c:pt idx="10">
                  <c:v>19464.285714285717</c:v>
                </c:pt>
                <c:pt idx="11">
                  <c:v>140170.72352280951</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-1</xdr:colOff>
      <xdr:row>15</xdr:row>
      <xdr:rowOff>56337</xdr:rowOff>
    </xdr:from>
    <xdr:ext cx="1821659" cy="24542753"/>
    <xdr:sp macro="" textlink="">
      <xdr:nvSpPr>
        <xdr:cNvPr id="2" name="Rectangle 1"/>
        <xdr:cNvSpPr/>
      </xdr:nvSpPr>
      <xdr:spPr>
        <a:xfrm rot="16200000">
          <a:off x="-3764360" y="15191165"/>
          <a:ext cx="24542753" cy="1821659"/>
        </a:xfrm>
        <a:prstGeom prst="rect">
          <a:avLst/>
        </a:prstGeom>
        <a:noFill/>
      </xdr:spPr>
      <xdr:txBody>
        <a:bodyPr wrap="square" lIns="91440" tIns="45720" rIns="91440" bIns="45720">
          <a:noAutofit/>
        </a:bodyPr>
        <a:lstStyle/>
        <a:p>
          <a:pPr algn="ctr"/>
          <a:r>
            <a:rPr lang="en-US" sz="19600" b="0" cap="none" spc="0">
              <a:ln w="18415" cmpd="sng">
                <a:solidFill>
                  <a:srgbClr val="FFFFFF">
                    <a:alpha val="55000"/>
                  </a:srgbClr>
                </a:solidFill>
                <a:prstDash val="solid"/>
              </a:ln>
              <a:solidFill>
                <a:srgbClr val="FFFFFF">
                  <a:alpha val="0"/>
                </a:srgbClr>
              </a:solidFill>
              <a:effectLst>
                <a:outerShdw blurRad="63500" dir="3600000" algn="tl" rotWithShape="0">
                  <a:srgbClr val="000000">
                    <a:alpha val="70000"/>
                  </a:srgbClr>
                </a:outerShdw>
              </a:effectLst>
            </a:rPr>
            <a:t>LANDEN </a:t>
          </a:r>
          <a:r>
            <a:rPr lang="en-US" sz="19600" b="0" cap="none" spc="0">
              <a:ln w="18415" cmpd="sng">
                <a:solidFill>
                  <a:srgbClr val="FFFFFF">
                    <a:alpha val="20000"/>
                  </a:srgbClr>
                </a:solidFill>
                <a:prstDash val="solid"/>
              </a:ln>
              <a:solidFill>
                <a:srgbClr val="FFFFFF">
                  <a:alpha val="0"/>
                </a:srgbClr>
              </a:solidFill>
              <a:effectLst>
                <a:outerShdw blurRad="63500" dir="3600000" algn="tl" rotWithShape="0">
                  <a:srgbClr val="000000">
                    <a:alpha val="70000"/>
                  </a:srgbClr>
                </a:outerShdw>
              </a:effectLst>
            </a:rPr>
            <a:t>Design</a:t>
          </a:r>
          <a:r>
            <a:rPr lang="en-US" sz="19600" b="0" cap="none" spc="0">
              <a:ln w="18415" cmpd="sng">
                <a:solidFill>
                  <a:srgbClr val="FFFFFF">
                    <a:alpha val="55000"/>
                  </a:srgbClr>
                </a:solidFill>
                <a:prstDash val="solid"/>
              </a:ln>
              <a:solidFill>
                <a:srgbClr val="FFFFFF">
                  <a:alpha val="0"/>
                </a:srgbClr>
              </a:solidFill>
              <a:effectLst>
                <a:outerShdw blurRad="63500" dir="3600000" algn="tl" rotWithShape="0">
                  <a:srgbClr val="000000">
                    <a:alpha val="70000"/>
                  </a:srgbClr>
                </a:outerShdw>
              </a:effectLst>
            </a:rPr>
            <a:t> Build</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23812</xdr:colOff>
      <xdr:row>22</xdr:row>
      <xdr:rowOff>28575</xdr:rowOff>
    </xdr:from>
    <xdr:to>
      <xdr:col>4</xdr:col>
      <xdr:colOff>100012</xdr:colOff>
      <xdr:row>50</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36"/>
  <sheetViews>
    <sheetView tabSelected="1" zoomScale="90" zoomScaleNormal="90" workbookViewId="0">
      <pane ySplit="11" topLeftCell="A12" activePane="bottomLeft" state="frozen"/>
      <selection pane="bottomLeft" activeCell="G145" sqref="G145"/>
    </sheetView>
  </sheetViews>
  <sheetFormatPr defaultRowHeight="15" x14ac:dyDescent="0.25"/>
  <cols>
    <col min="1" max="1" width="3.42578125" customWidth="1"/>
    <col min="2" max="2" width="43.140625" customWidth="1"/>
    <col min="3" max="3" width="21.85546875" bestFit="1" customWidth="1"/>
    <col min="4" max="4" width="14.85546875" customWidth="1"/>
    <col min="5" max="5" width="19.140625" customWidth="1"/>
    <col min="6" max="6" width="13" customWidth="1"/>
    <col min="7" max="7" width="14.140625" customWidth="1"/>
    <col min="8" max="8" width="21.140625" customWidth="1"/>
    <col min="9" max="9" width="10.140625" customWidth="1"/>
    <col min="10" max="10" width="16.5703125" customWidth="1"/>
    <col min="11" max="11" width="12.85546875" customWidth="1"/>
    <col min="12" max="12" width="2.140625" customWidth="1"/>
    <col min="13" max="13" width="1.5703125" hidden="1" customWidth="1"/>
    <col min="14" max="14" width="18.7109375" customWidth="1"/>
    <col min="15" max="15" width="18.85546875" customWidth="1"/>
    <col min="16" max="16" width="19.42578125" customWidth="1"/>
    <col min="17" max="17" width="14.140625" customWidth="1"/>
    <col min="18" max="18" width="14.85546875" bestFit="1" customWidth="1"/>
    <col min="20" max="20" width="14.85546875" bestFit="1" customWidth="1"/>
  </cols>
  <sheetData>
    <row r="1" spans="1:22" ht="37.5" thickBot="1" x14ac:dyDescent="0.75">
      <c r="B1" s="68" t="s">
        <v>45</v>
      </c>
      <c r="C1" s="53"/>
      <c r="D1" s="221" t="s">
        <v>213</v>
      </c>
      <c r="E1" s="53"/>
      <c r="F1" s="53"/>
      <c r="G1" s="53"/>
      <c r="H1" s="186" t="s">
        <v>178</v>
      </c>
      <c r="J1" s="209" t="s">
        <v>237</v>
      </c>
      <c r="K1" s="207"/>
      <c r="N1" s="78"/>
      <c r="O1" s="78"/>
      <c r="P1" s="78"/>
      <c r="Q1" s="78"/>
      <c r="R1" s="78"/>
      <c r="S1" s="78"/>
      <c r="T1" s="78"/>
      <c r="U1" s="78"/>
      <c r="V1" s="78"/>
    </row>
    <row r="2" spans="1:22" ht="27" thickBot="1" x14ac:dyDescent="0.45">
      <c r="B2" s="202" t="s">
        <v>206</v>
      </c>
      <c r="C2" s="53"/>
      <c r="D2" s="53"/>
      <c r="E2" s="53"/>
      <c r="F2" s="53"/>
      <c r="G2" s="53"/>
      <c r="H2" s="187" t="s">
        <v>170</v>
      </c>
      <c r="I2" s="187"/>
      <c r="J2" s="187"/>
      <c r="K2" s="115"/>
      <c r="N2" s="78"/>
      <c r="O2" s="78"/>
      <c r="P2" s="78"/>
      <c r="Q2" s="78"/>
      <c r="R2" s="78"/>
      <c r="S2" s="78"/>
      <c r="T2" s="78"/>
      <c r="U2" s="78"/>
      <c r="V2" s="78"/>
    </row>
    <row r="3" spans="1:22" ht="19.5" thickBot="1" x14ac:dyDescent="0.35">
      <c r="B3" s="203" t="s">
        <v>42</v>
      </c>
      <c r="E3" t="s">
        <v>76</v>
      </c>
      <c r="J3" t="s">
        <v>44</v>
      </c>
      <c r="N3" s="78"/>
      <c r="O3" s="78"/>
      <c r="P3" s="78"/>
      <c r="Q3" s="78"/>
      <c r="R3" s="78"/>
      <c r="S3" s="78"/>
      <c r="T3" s="78"/>
      <c r="U3" s="78"/>
      <c r="V3" s="78"/>
    </row>
    <row r="4" spans="1:22" ht="19.5" thickBot="1" x14ac:dyDescent="0.35">
      <c r="B4" s="204" t="s">
        <v>181</v>
      </c>
      <c r="C4" s="205"/>
      <c r="D4" s="205"/>
      <c r="E4" s="205"/>
      <c r="F4" s="206"/>
      <c r="G4" s="207"/>
      <c r="N4" s="78"/>
      <c r="O4" s="78"/>
      <c r="P4" s="78"/>
      <c r="Q4" s="78"/>
      <c r="R4" s="78"/>
      <c r="S4" s="78"/>
      <c r="T4" s="78"/>
      <c r="U4" s="78"/>
      <c r="V4" s="78"/>
    </row>
    <row r="5" spans="1:22" x14ac:dyDescent="0.25">
      <c r="C5" s="69"/>
      <c r="D5" s="69"/>
      <c r="E5" s="69"/>
      <c r="F5" s="69" t="s">
        <v>94</v>
      </c>
      <c r="I5" s="69" t="s">
        <v>105</v>
      </c>
      <c r="J5" s="129" t="s">
        <v>127</v>
      </c>
      <c r="K5" s="56" t="s">
        <v>128</v>
      </c>
      <c r="N5" s="78"/>
      <c r="O5" s="78"/>
      <c r="P5" s="78"/>
      <c r="Q5" s="78"/>
      <c r="R5" s="78"/>
      <c r="S5" s="78"/>
      <c r="T5" s="78"/>
      <c r="U5" s="78"/>
      <c r="V5" s="78"/>
    </row>
    <row r="6" spans="1:22" ht="19.5" thickBot="1" x14ac:dyDescent="0.35">
      <c r="B6" s="126" t="s">
        <v>95</v>
      </c>
      <c r="C6" s="129" t="s">
        <v>90</v>
      </c>
      <c r="D6" s="129" t="s">
        <v>91</v>
      </c>
      <c r="E6" s="129" t="s">
        <v>92</v>
      </c>
      <c r="F6" s="129" t="s">
        <v>93</v>
      </c>
      <c r="G6" s="129" t="s">
        <v>171</v>
      </c>
      <c r="H6" s="129" t="s">
        <v>100</v>
      </c>
      <c r="I6" s="129" t="s">
        <v>106</v>
      </c>
      <c r="J6" s="129" t="s">
        <v>161</v>
      </c>
      <c r="K6" s="129" t="s">
        <v>129</v>
      </c>
      <c r="N6" s="77"/>
      <c r="O6" s="78"/>
      <c r="P6" s="78"/>
      <c r="Q6" s="78"/>
      <c r="R6" s="78"/>
      <c r="S6" s="78"/>
      <c r="T6" s="78"/>
      <c r="U6" s="78"/>
      <c r="V6" s="78"/>
    </row>
    <row r="7" spans="1:22" ht="19.5" thickBot="1" x14ac:dyDescent="0.35">
      <c r="B7" s="125">
        <v>1800</v>
      </c>
      <c r="C7" s="194">
        <v>211</v>
      </c>
      <c r="D7" s="195">
        <v>868</v>
      </c>
      <c r="E7" s="195">
        <v>78</v>
      </c>
      <c r="F7" s="196">
        <v>67</v>
      </c>
      <c r="G7" s="195">
        <v>481</v>
      </c>
      <c r="H7" s="195">
        <v>0</v>
      </c>
      <c r="I7" s="195">
        <v>9</v>
      </c>
      <c r="J7" s="195">
        <v>56</v>
      </c>
      <c r="K7" s="195">
        <v>1</v>
      </c>
      <c r="N7" s="57"/>
      <c r="O7" s="92"/>
      <c r="P7" s="78"/>
      <c r="Q7" s="78"/>
      <c r="R7" s="78"/>
      <c r="S7" s="78"/>
      <c r="T7" s="78"/>
      <c r="U7" s="78"/>
      <c r="V7" s="78"/>
    </row>
    <row r="8" spans="1:22" ht="19.5" thickBot="1" x14ac:dyDescent="0.35">
      <c r="B8" s="128" t="s">
        <v>89</v>
      </c>
      <c r="C8" s="62" t="s">
        <v>130</v>
      </c>
      <c r="D8" s="62" t="s">
        <v>131</v>
      </c>
      <c r="E8" s="129" t="s">
        <v>135</v>
      </c>
      <c r="F8" s="62" t="s">
        <v>143</v>
      </c>
      <c r="G8" s="62" t="s">
        <v>142</v>
      </c>
      <c r="H8" s="129" t="s">
        <v>147</v>
      </c>
      <c r="I8" s="62" t="s">
        <v>160</v>
      </c>
      <c r="J8" s="129" t="s">
        <v>159</v>
      </c>
      <c r="K8" s="93" t="s">
        <v>132</v>
      </c>
      <c r="N8" s="55"/>
      <c r="O8" s="55"/>
      <c r="P8" s="78"/>
      <c r="Q8" s="78"/>
      <c r="R8" s="78"/>
      <c r="S8" s="78"/>
      <c r="T8" s="78"/>
      <c r="U8" s="78"/>
      <c r="V8" s="78"/>
    </row>
    <row r="9" spans="1:22" ht="19.5" thickBot="1" x14ac:dyDescent="0.35">
      <c r="B9" s="125">
        <v>1000</v>
      </c>
      <c r="C9" s="195">
        <v>38</v>
      </c>
      <c r="D9" s="195">
        <v>33</v>
      </c>
      <c r="E9" s="195">
        <v>29</v>
      </c>
      <c r="F9" s="195">
        <v>3</v>
      </c>
      <c r="G9" s="195">
        <v>1</v>
      </c>
      <c r="H9" s="195">
        <v>46</v>
      </c>
      <c r="I9" s="195">
        <v>1</v>
      </c>
      <c r="J9" s="195">
        <v>2</v>
      </c>
      <c r="K9" s="195">
        <v>2</v>
      </c>
      <c r="N9" s="55"/>
      <c r="O9" s="55"/>
      <c r="P9" s="78"/>
      <c r="Q9" s="78"/>
      <c r="R9" s="78"/>
      <c r="S9" s="78"/>
      <c r="T9" s="78"/>
      <c r="U9" s="78"/>
      <c r="V9" s="78"/>
    </row>
    <row r="10" spans="1:22" ht="19.5" thickBot="1" x14ac:dyDescent="0.35">
      <c r="B10" s="197" t="s">
        <v>172</v>
      </c>
      <c r="C10" s="212" t="s">
        <v>0</v>
      </c>
      <c r="D10" s="213" t="s">
        <v>2</v>
      </c>
      <c r="E10" s="214" t="s">
        <v>210</v>
      </c>
      <c r="F10" s="213" t="s">
        <v>3</v>
      </c>
      <c r="G10" s="213" t="s">
        <v>5</v>
      </c>
      <c r="H10" s="213" t="s">
        <v>7</v>
      </c>
      <c r="I10" s="213" t="s">
        <v>9</v>
      </c>
      <c r="J10" s="213" t="s">
        <v>41</v>
      </c>
      <c r="K10" s="215"/>
      <c r="L10" s="37"/>
      <c r="M10" s="37"/>
      <c r="N10" s="55"/>
      <c r="O10" s="55"/>
      <c r="P10" s="78"/>
      <c r="Q10" s="78"/>
      <c r="R10" s="78"/>
      <c r="S10" s="78"/>
      <c r="T10" s="78"/>
      <c r="U10" s="78"/>
      <c r="V10" s="78"/>
    </row>
    <row r="11" spans="1:22" ht="19.5" thickBot="1" x14ac:dyDescent="0.35">
      <c r="B11" s="125">
        <v>950</v>
      </c>
      <c r="C11" s="216" t="s">
        <v>1</v>
      </c>
      <c r="D11" s="217" t="s">
        <v>23</v>
      </c>
      <c r="E11" s="217" t="s">
        <v>209</v>
      </c>
      <c r="F11" s="217" t="s">
        <v>4</v>
      </c>
      <c r="G11" s="217" t="s">
        <v>6</v>
      </c>
      <c r="H11" s="217" t="s">
        <v>6</v>
      </c>
      <c r="I11" s="217" t="s">
        <v>10</v>
      </c>
      <c r="J11" s="217" t="s">
        <v>11</v>
      </c>
      <c r="K11" s="218" t="s">
        <v>12</v>
      </c>
      <c r="L11" s="37"/>
      <c r="M11" s="37"/>
      <c r="N11" s="55"/>
      <c r="O11" s="55"/>
      <c r="P11" s="78"/>
      <c r="Q11" s="78"/>
      <c r="R11" s="78"/>
      <c r="S11" s="78"/>
      <c r="T11" s="78"/>
      <c r="U11" s="78"/>
      <c r="V11" s="78"/>
    </row>
    <row r="12" spans="1:22" x14ac:dyDescent="0.25">
      <c r="A12" s="2">
        <v>1</v>
      </c>
      <c r="B12" s="8" t="s">
        <v>35</v>
      </c>
      <c r="C12" s="17"/>
      <c r="D12" s="28"/>
      <c r="E12" s="127"/>
      <c r="F12" s="28"/>
      <c r="G12" s="133"/>
      <c r="H12" s="20">
        <f>G13+G14+G20+G15+G16+G17+G19+G18</f>
        <v>31541.66</v>
      </c>
      <c r="I12" s="17"/>
      <c r="J12" s="134">
        <f>I13+I14+I20+I15+I16+I17+I19</f>
        <v>6.7005928571428583</v>
      </c>
      <c r="K12" s="43">
        <f>H12/H137</f>
        <v>3.7924864117603728E-2</v>
      </c>
      <c r="N12" s="55"/>
      <c r="O12" s="55"/>
      <c r="P12" s="78"/>
      <c r="Q12" s="78"/>
      <c r="R12" s="78"/>
      <c r="S12" s="78"/>
      <c r="T12" s="78"/>
      <c r="U12" s="78"/>
      <c r="V12" s="78"/>
    </row>
    <row r="13" spans="1:22" x14ac:dyDescent="0.25">
      <c r="A13" s="2"/>
      <c r="B13" s="5" t="s">
        <v>40</v>
      </c>
      <c r="C13" s="130">
        <f>D13/(B7+B9)</f>
        <v>1.3392857142857142</v>
      </c>
      <c r="D13" s="4">
        <f>B7+B11+B9</f>
        <v>3750</v>
      </c>
      <c r="E13" s="42" t="s">
        <v>186</v>
      </c>
      <c r="F13" s="11">
        <v>1.55</v>
      </c>
      <c r="G13" s="131">
        <f>D13*F13</f>
        <v>5812.5</v>
      </c>
      <c r="H13" s="37"/>
      <c r="I13" s="70">
        <f>G13/(B7+B9)</f>
        <v>2.0758928571428572</v>
      </c>
      <c r="J13" s="5"/>
      <c r="K13" s="5"/>
      <c r="N13" s="78"/>
      <c r="O13" s="81"/>
      <c r="P13" s="78"/>
      <c r="Q13" s="78"/>
      <c r="R13" s="78"/>
      <c r="S13" s="78"/>
      <c r="T13" s="78"/>
      <c r="U13" s="78"/>
      <c r="V13" s="78"/>
    </row>
    <row r="14" spans="1:22" x14ac:dyDescent="0.25">
      <c r="A14" s="2"/>
      <c r="B14" s="5" t="s">
        <v>36</v>
      </c>
      <c r="C14" s="130">
        <f>D14/(B7+B9)</f>
        <v>1.3392857142857142</v>
      </c>
      <c r="D14" s="4">
        <f>B7+B9+B11</f>
        <v>3750</v>
      </c>
      <c r="E14" s="42" t="s">
        <v>203</v>
      </c>
      <c r="F14" s="11">
        <v>0.65</v>
      </c>
      <c r="G14" s="131">
        <f>D14*F14</f>
        <v>2437.5</v>
      </c>
      <c r="H14" s="37"/>
      <c r="I14" s="70">
        <f>G14/(B7+B9)</f>
        <v>0.8705357142857143</v>
      </c>
      <c r="J14" s="5"/>
      <c r="K14" s="5"/>
      <c r="N14" s="78"/>
      <c r="O14" s="81"/>
      <c r="P14" s="78"/>
      <c r="Q14" s="78"/>
      <c r="R14" s="78"/>
      <c r="S14" s="78"/>
      <c r="T14" s="78"/>
      <c r="U14" s="78"/>
      <c r="V14" s="78"/>
    </row>
    <row r="15" spans="1:22" x14ac:dyDescent="0.25">
      <c r="A15" s="2"/>
      <c r="B15" s="5" t="s">
        <v>104</v>
      </c>
      <c r="C15" s="130">
        <f>D15/(B7+B9)</f>
        <v>3.2142857142857142E-3</v>
      </c>
      <c r="D15" s="4">
        <f>I7</f>
        <v>9</v>
      </c>
      <c r="E15" s="42" t="s">
        <v>114</v>
      </c>
      <c r="F15" s="11">
        <v>450</v>
      </c>
      <c r="G15" s="131">
        <f>D15*F15</f>
        <v>4050</v>
      </c>
      <c r="H15" s="37"/>
      <c r="I15" s="70">
        <f>G15/(B7+B9)</f>
        <v>1.4464285714285714</v>
      </c>
      <c r="J15" s="5"/>
      <c r="K15" s="5"/>
      <c r="N15" s="78"/>
      <c r="O15" s="81"/>
      <c r="P15" s="78"/>
      <c r="Q15" s="78"/>
      <c r="R15" s="78"/>
      <c r="S15" s="78"/>
      <c r="T15" s="78"/>
      <c r="U15" s="78"/>
      <c r="V15" s="78"/>
    </row>
    <row r="16" spans="1:22" x14ac:dyDescent="0.25">
      <c r="A16" s="2"/>
      <c r="B16" s="5" t="s">
        <v>103</v>
      </c>
      <c r="C16" s="130">
        <f>D16/(B7+B9)</f>
        <v>3.2142857142857142E-3</v>
      </c>
      <c r="D16" s="4">
        <f>I7</f>
        <v>9</v>
      </c>
      <c r="E16" s="42" t="s">
        <v>114</v>
      </c>
      <c r="F16" s="11">
        <v>250</v>
      </c>
      <c r="G16" s="131">
        <f>D16*F16</f>
        <v>2250</v>
      </c>
      <c r="H16" s="37"/>
      <c r="I16" s="70">
        <f>G16/(B7+B9)</f>
        <v>0.8035714285714286</v>
      </c>
      <c r="J16" s="5"/>
      <c r="K16" s="5"/>
      <c r="N16" s="78"/>
      <c r="O16" s="81"/>
      <c r="P16" s="78"/>
      <c r="Q16" s="78"/>
      <c r="R16" s="78"/>
      <c r="S16" s="78"/>
      <c r="T16" s="78"/>
      <c r="U16" s="78"/>
      <c r="V16" s="78"/>
    </row>
    <row r="17" spans="1:22" x14ac:dyDescent="0.25">
      <c r="A17" s="2"/>
      <c r="B17" s="5" t="s">
        <v>102</v>
      </c>
      <c r="C17" s="130">
        <f>D17/(B7+B9)</f>
        <v>3.5714285714285714E-4</v>
      </c>
      <c r="D17" s="4">
        <v>1</v>
      </c>
      <c r="E17" s="42" t="s">
        <v>34</v>
      </c>
      <c r="F17" s="11">
        <v>2250</v>
      </c>
      <c r="G17" s="131">
        <f>D17*F17</f>
        <v>2250</v>
      </c>
      <c r="H17" s="37"/>
      <c r="I17" s="70">
        <f>G17/(B7+B9)</f>
        <v>0.8035714285714286</v>
      </c>
      <c r="J17" s="5"/>
      <c r="K17" s="5"/>
      <c r="N17" s="78"/>
      <c r="O17" s="81"/>
      <c r="P17" s="78"/>
      <c r="Q17" s="78"/>
      <c r="R17" s="78"/>
      <c r="S17" s="78"/>
      <c r="T17" s="78"/>
      <c r="U17" s="78"/>
      <c r="V17" s="78"/>
    </row>
    <row r="18" spans="1:22" x14ac:dyDescent="0.25">
      <c r="A18" s="2"/>
      <c r="B18" s="5" t="s">
        <v>211</v>
      </c>
      <c r="C18" s="130">
        <f>D18/(B7+B9)</f>
        <v>3.2142857142857142E-3</v>
      </c>
      <c r="D18" s="4">
        <f>I7</f>
        <v>9</v>
      </c>
      <c r="E18" s="42" t="s">
        <v>114</v>
      </c>
      <c r="F18" s="11">
        <v>1420</v>
      </c>
      <c r="G18" s="131">
        <f>D18*F18</f>
        <v>12780</v>
      </c>
      <c r="H18" s="37"/>
      <c r="I18" s="70">
        <f>G18/(B7+B9)</f>
        <v>4.5642857142857141</v>
      </c>
      <c r="J18" s="5"/>
      <c r="K18" s="5"/>
      <c r="N18" s="78"/>
      <c r="O18" s="81"/>
      <c r="P18" s="78"/>
      <c r="Q18" s="78"/>
      <c r="R18" s="78"/>
      <c r="S18" s="78"/>
      <c r="T18" s="78"/>
      <c r="U18" s="78"/>
      <c r="V18" s="78"/>
    </row>
    <row r="19" spans="1:22" x14ac:dyDescent="0.25">
      <c r="A19" s="2"/>
      <c r="B19" s="5" t="s">
        <v>81</v>
      </c>
      <c r="C19" s="130">
        <f>D19/(B7+B9)</f>
        <v>0.81464285714285711</v>
      </c>
      <c r="D19" s="4">
        <f>B7+G7</f>
        <v>2281</v>
      </c>
      <c r="E19" s="42" t="s">
        <v>187</v>
      </c>
      <c r="F19" s="11">
        <v>0.86</v>
      </c>
      <c r="G19" s="131">
        <f>D19*F19</f>
        <v>1961.66</v>
      </c>
      <c r="H19" s="37"/>
      <c r="I19" s="70">
        <f>G19/(B7+B9)</f>
        <v>0.70059285714285713</v>
      </c>
      <c r="J19" s="5"/>
      <c r="K19" s="5"/>
      <c r="N19" s="78"/>
      <c r="O19" s="81"/>
      <c r="P19" s="78"/>
      <c r="Q19" s="78"/>
      <c r="R19" s="78"/>
      <c r="S19" s="78"/>
      <c r="T19" s="78"/>
      <c r="U19" s="78"/>
      <c r="V19" s="78"/>
    </row>
    <row r="20" spans="1:22" ht="15.75" thickBot="1" x14ac:dyDescent="0.3">
      <c r="A20" s="2"/>
      <c r="B20" s="162" t="s">
        <v>113</v>
      </c>
      <c r="C20" s="130">
        <f>D20/(B7+B9)</f>
        <v>0</v>
      </c>
      <c r="D20" s="193">
        <v>0</v>
      </c>
      <c r="E20" s="198"/>
      <c r="F20" s="52">
        <v>0</v>
      </c>
      <c r="G20" s="131">
        <f>D20*F20</f>
        <v>0</v>
      </c>
      <c r="H20" s="37"/>
      <c r="I20" s="70">
        <f>G20/(B7+B9)</f>
        <v>0</v>
      </c>
      <c r="J20" s="22"/>
      <c r="K20" s="22"/>
      <c r="N20" s="78"/>
      <c r="O20" s="81"/>
      <c r="P20" s="78"/>
      <c r="Q20" s="78"/>
      <c r="R20" s="78"/>
      <c r="S20" s="78"/>
      <c r="T20" s="78"/>
      <c r="U20" s="78"/>
      <c r="V20" s="78"/>
    </row>
    <row r="21" spans="1:22" x14ac:dyDescent="0.25">
      <c r="A21" s="2">
        <v>2</v>
      </c>
      <c r="B21" s="28" t="s">
        <v>111</v>
      </c>
      <c r="C21" s="44"/>
      <c r="D21" s="3"/>
      <c r="E21" s="24"/>
      <c r="F21" s="13"/>
      <c r="G21" s="3"/>
      <c r="H21" s="19">
        <f>G22+G27+G23+G24+G25+G26</f>
        <v>58000</v>
      </c>
      <c r="I21" s="3"/>
      <c r="J21" s="19">
        <f>I28+I27+I22</f>
        <v>1.6071428571428572</v>
      </c>
      <c r="K21" s="33">
        <f>H21/H137</f>
        <v>6.9737677687890118E-2</v>
      </c>
      <c r="N21" s="78"/>
      <c r="O21" s="81"/>
      <c r="P21" s="78"/>
      <c r="Q21" s="78"/>
      <c r="R21" s="78"/>
      <c r="S21" s="78"/>
      <c r="T21" s="78"/>
      <c r="U21" s="78"/>
      <c r="V21" s="78"/>
    </row>
    <row r="22" spans="1:22" x14ac:dyDescent="0.25">
      <c r="A22" s="2"/>
      <c r="B22" s="5" t="s">
        <v>112</v>
      </c>
      <c r="C22" s="27">
        <f>D22/(B7+B9)</f>
        <v>3.5714285714285714E-4</v>
      </c>
      <c r="D22" s="4">
        <v>1</v>
      </c>
      <c r="E22" s="42" t="s">
        <v>34</v>
      </c>
      <c r="F22" s="14">
        <v>4500</v>
      </c>
      <c r="G22" s="11">
        <f>D22*F22</f>
        <v>4500</v>
      </c>
      <c r="H22" s="37"/>
      <c r="I22" s="70">
        <f>G22/(B7+B9)</f>
        <v>1.6071428571428572</v>
      </c>
      <c r="J22" s="5"/>
      <c r="K22" s="34"/>
      <c r="N22" s="78"/>
      <c r="O22" s="81"/>
      <c r="P22" s="78"/>
      <c r="Q22" s="78"/>
      <c r="R22" s="78"/>
      <c r="S22" s="78"/>
      <c r="T22" s="78"/>
      <c r="U22" s="78"/>
      <c r="V22" s="78"/>
    </row>
    <row r="23" spans="1:22" x14ac:dyDescent="0.25">
      <c r="A23" s="2"/>
      <c r="B23" s="5" t="s">
        <v>118</v>
      </c>
      <c r="C23" s="27">
        <f>D23/(B7+B9)</f>
        <v>3.5714285714285714E-4</v>
      </c>
      <c r="D23" s="189">
        <v>1</v>
      </c>
      <c r="E23" s="42" t="s">
        <v>34</v>
      </c>
      <c r="F23" s="14">
        <v>3500</v>
      </c>
      <c r="G23" s="11">
        <f t="shared" ref="G23:G26" si="0">D23*F23</f>
        <v>3500</v>
      </c>
      <c r="H23" s="37"/>
      <c r="I23" s="70">
        <f>G23/(B7+B9)</f>
        <v>1.25</v>
      </c>
      <c r="J23" s="5"/>
      <c r="K23" s="34"/>
      <c r="N23" s="78"/>
      <c r="O23" s="81"/>
      <c r="P23" s="78"/>
      <c r="Q23" s="78"/>
      <c r="R23" s="78"/>
      <c r="S23" s="78"/>
      <c r="T23" s="78"/>
      <c r="U23" s="78"/>
      <c r="V23" s="78"/>
    </row>
    <row r="24" spans="1:22" x14ac:dyDescent="0.25">
      <c r="A24" s="2"/>
      <c r="B24" s="5" t="s">
        <v>116</v>
      </c>
      <c r="C24" s="27">
        <f>D24/(B7+B9)</f>
        <v>3.5714285714285714E-4</v>
      </c>
      <c r="D24" s="189">
        <v>1</v>
      </c>
      <c r="E24" s="42" t="s">
        <v>34</v>
      </c>
      <c r="F24" s="14">
        <v>28000</v>
      </c>
      <c r="G24" s="11">
        <f t="shared" si="0"/>
        <v>28000</v>
      </c>
      <c r="H24" s="37"/>
      <c r="I24" s="70">
        <f>G24/(B7+B9)</f>
        <v>10</v>
      </c>
      <c r="J24" s="5"/>
      <c r="K24" s="34"/>
      <c r="N24" s="78"/>
      <c r="O24" s="81"/>
      <c r="P24" s="78"/>
      <c r="Q24" s="78"/>
      <c r="R24" s="78"/>
      <c r="S24" s="78"/>
      <c r="T24" s="78"/>
      <c r="U24" s="78"/>
      <c r="V24" s="78"/>
    </row>
    <row r="25" spans="1:22" x14ac:dyDescent="0.25">
      <c r="A25" s="2"/>
      <c r="B25" s="5" t="s">
        <v>115</v>
      </c>
      <c r="C25" s="27">
        <f>D25/(B7+B9)</f>
        <v>3.5714285714285714E-4</v>
      </c>
      <c r="D25" s="189">
        <v>1</v>
      </c>
      <c r="E25" s="42" t="s">
        <v>34</v>
      </c>
      <c r="F25" s="14">
        <v>12000</v>
      </c>
      <c r="G25" s="11">
        <f t="shared" si="0"/>
        <v>12000</v>
      </c>
      <c r="H25" s="37"/>
      <c r="I25" s="70">
        <f>G25/(B7+B9)</f>
        <v>4.2857142857142856</v>
      </c>
      <c r="J25" s="5"/>
      <c r="K25" s="34"/>
      <c r="N25" s="78"/>
      <c r="O25" s="81"/>
      <c r="P25" s="78"/>
      <c r="Q25" s="78"/>
      <c r="R25" s="78"/>
      <c r="S25" s="78"/>
      <c r="T25" s="78"/>
      <c r="U25" s="78"/>
      <c r="V25" s="78"/>
    </row>
    <row r="26" spans="1:22" x14ac:dyDescent="0.25">
      <c r="A26" s="2"/>
      <c r="B26" s="5" t="s">
        <v>117</v>
      </c>
      <c r="C26" s="27">
        <f>D26/(B7+B9)</f>
        <v>3.5714285714285714E-4</v>
      </c>
      <c r="D26" s="189">
        <v>1</v>
      </c>
      <c r="E26" s="42" t="s">
        <v>34</v>
      </c>
      <c r="F26" s="14">
        <v>10000</v>
      </c>
      <c r="G26" s="11">
        <f t="shared" si="0"/>
        <v>10000</v>
      </c>
      <c r="H26" s="37"/>
      <c r="I26" s="70">
        <f>G26/(B7+B9)</f>
        <v>3.5714285714285716</v>
      </c>
      <c r="J26" s="5"/>
      <c r="K26" s="34"/>
      <c r="N26" s="78"/>
      <c r="O26" s="81"/>
      <c r="P26" s="78"/>
      <c r="Q26" s="78"/>
      <c r="R26" s="78"/>
      <c r="S26" s="78"/>
      <c r="T26" s="78"/>
      <c r="U26" s="78"/>
      <c r="V26" s="78"/>
    </row>
    <row r="27" spans="1:22" ht="15.75" thickBot="1" x14ac:dyDescent="0.3">
      <c r="A27" s="2"/>
      <c r="B27" s="162" t="s">
        <v>113</v>
      </c>
      <c r="C27" s="27">
        <f>D27/(B7+B9)</f>
        <v>0</v>
      </c>
      <c r="D27" s="189">
        <v>0</v>
      </c>
      <c r="E27" s="198"/>
      <c r="F27" s="14">
        <v>0</v>
      </c>
      <c r="G27" s="11">
        <v>0</v>
      </c>
      <c r="H27" s="37"/>
      <c r="I27" s="70">
        <f>G27/(B7+B9)</f>
        <v>0</v>
      </c>
      <c r="J27" s="5"/>
      <c r="K27" s="34"/>
      <c r="N27" s="78"/>
      <c r="O27" s="81"/>
      <c r="P27" s="78"/>
      <c r="Q27" s="78"/>
      <c r="R27" s="78"/>
      <c r="S27" s="78"/>
      <c r="T27" s="78"/>
      <c r="U27" s="78"/>
      <c r="V27" s="78"/>
    </row>
    <row r="28" spans="1:22" x14ac:dyDescent="0.25">
      <c r="A28" s="2">
        <v>3</v>
      </c>
      <c r="B28" s="28" t="s">
        <v>155</v>
      </c>
      <c r="C28" s="44"/>
      <c r="D28" s="3"/>
      <c r="E28" s="24"/>
      <c r="F28" s="13"/>
      <c r="G28" s="3"/>
      <c r="H28" s="19">
        <f>G29+G31+G32+G33+G34</f>
        <v>52788.633333333331</v>
      </c>
      <c r="I28" s="3"/>
      <c r="J28" s="19">
        <f>I32+I31+I29</f>
        <v>16.808797619047617</v>
      </c>
      <c r="K28" s="33">
        <f>H28/H137</f>
        <v>6.3471667189382963E-2</v>
      </c>
      <c r="N28" s="78"/>
      <c r="O28" s="81"/>
      <c r="P28" s="78"/>
      <c r="Q28" s="78"/>
      <c r="R28" s="78"/>
      <c r="S28" s="78"/>
      <c r="T28" s="78"/>
      <c r="U28" s="78"/>
      <c r="V28" s="78"/>
    </row>
    <row r="29" spans="1:22" x14ac:dyDescent="0.25">
      <c r="A29" s="2"/>
      <c r="B29" s="5" t="s">
        <v>108</v>
      </c>
      <c r="C29" s="27">
        <f>D20/(B7+B9)</f>
        <v>0</v>
      </c>
      <c r="D29" s="219">
        <f>((B7+G7)*7)/27</f>
        <v>591.37037037037032</v>
      </c>
      <c r="E29" s="25" t="s">
        <v>107</v>
      </c>
      <c r="F29" s="14">
        <v>23.3</v>
      </c>
      <c r="G29" s="11">
        <f>D29*F29</f>
        <v>13778.929629629629</v>
      </c>
      <c r="H29" s="23"/>
      <c r="I29" s="9">
        <f>G29/(B7+B9)</f>
        <v>4.9210462962962964</v>
      </c>
      <c r="J29" s="5"/>
      <c r="K29" s="34"/>
      <c r="M29" s="37"/>
      <c r="N29" s="78"/>
      <c r="O29" s="81"/>
      <c r="P29" s="78"/>
      <c r="Q29" s="78"/>
      <c r="R29" s="78"/>
      <c r="S29" s="78"/>
      <c r="T29" s="78"/>
      <c r="U29" s="78"/>
      <c r="V29" s="78"/>
    </row>
    <row r="30" spans="1:22" x14ac:dyDescent="0.25">
      <c r="A30" s="2"/>
      <c r="B30" s="5" t="s">
        <v>169</v>
      </c>
      <c r="C30" s="27">
        <f>D21/(B7+B9)</f>
        <v>0</v>
      </c>
      <c r="D30" s="219">
        <f>B7+G7</f>
        <v>2281</v>
      </c>
      <c r="E30" s="25" t="s">
        <v>187</v>
      </c>
      <c r="F30" s="14">
        <v>8.1999999999999993</v>
      </c>
      <c r="G30" s="11">
        <f>D30*F30</f>
        <v>18704.199999999997</v>
      </c>
      <c r="H30" s="23"/>
      <c r="I30" s="9">
        <f>G30/(B7+B9)</f>
        <v>6.6800714285714271</v>
      </c>
      <c r="J30" s="5"/>
      <c r="K30" s="34"/>
      <c r="M30" s="37"/>
      <c r="N30" s="78"/>
      <c r="O30" s="81"/>
      <c r="P30" s="78"/>
      <c r="Q30" s="78"/>
      <c r="R30" s="78"/>
      <c r="S30" s="78"/>
      <c r="T30" s="78"/>
      <c r="U30" s="78"/>
      <c r="V30" s="78"/>
    </row>
    <row r="31" spans="1:22" x14ac:dyDescent="0.25">
      <c r="A31" s="2"/>
      <c r="B31" s="5" t="s">
        <v>110</v>
      </c>
      <c r="C31" s="27">
        <f>D22/(B7+B9)</f>
        <v>3.5714285714285714E-4</v>
      </c>
      <c r="D31" s="190">
        <f>B7+G7</f>
        <v>2281</v>
      </c>
      <c r="E31" s="90" t="s">
        <v>8</v>
      </c>
      <c r="F31" s="91">
        <v>8.5</v>
      </c>
      <c r="G31" s="67">
        <f t="shared" ref="G31:G96" si="1">D31*F31</f>
        <v>19388.5</v>
      </c>
      <c r="H31" s="23"/>
      <c r="I31" s="9">
        <f>G31/(B7+B9)</f>
        <v>6.9244642857142855</v>
      </c>
      <c r="J31" s="5"/>
      <c r="K31" s="34"/>
      <c r="N31" s="78"/>
      <c r="O31" s="81"/>
      <c r="P31" s="78"/>
      <c r="Q31" s="78"/>
      <c r="R31" s="78"/>
      <c r="S31" s="78"/>
      <c r="T31" s="78"/>
      <c r="U31" s="78"/>
      <c r="V31" s="78"/>
    </row>
    <row r="32" spans="1:22" x14ac:dyDescent="0.25">
      <c r="A32" s="2"/>
      <c r="B32" s="5" t="s">
        <v>109</v>
      </c>
      <c r="C32" s="27">
        <f>D23/(B7+B9)</f>
        <v>3.5714285714285714E-4</v>
      </c>
      <c r="D32" s="220">
        <f>D29</f>
        <v>591.37037037037032</v>
      </c>
      <c r="E32" s="25" t="s">
        <v>24</v>
      </c>
      <c r="F32" s="14">
        <v>23.5</v>
      </c>
      <c r="G32" s="11">
        <f t="shared" si="1"/>
        <v>13897.203703703703</v>
      </c>
      <c r="H32" s="23"/>
      <c r="I32" s="9">
        <f>G32/(B7+B9)</f>
        <v>4.9632870370370368</v>
      </c>
      <c r="J32" s="5"/>
      <c r="K32" s="34"/>
      <c r="N32" s="78"/>
      <c r="O32" s="81"/>
      <c r="P32" s="78"/>
      <c r="Q32" s="78"/>
      <c r="R32" s="78"/>
      <c r="S32" s="78"/>
      <c r="T32" s="78"/>
      <c r="U32" s="78"/>
      <c r="V32" s="78"/>
    </row>
    <row r="33" spans="1:22" x14ac:dyDescent="0.25">
      <c r="A33" s="2"/>
      <c r="B33" s="5" t="s">
        <v>119</v>
      </c>
      <c r="C33" s="27">
        <f>D24/(B7+B9)</f>
        <v>3.5714285714285714E-4</v>
      </c>
      <c r="D33" s="220">
        <f>B7</f>
        <v>1800</v>
      </c>
      <c r="E33" s="25" t="s">
        <v>188</v>
      </c>
      <c r="F33" s="14">
        <v>3.18</v>
      </c>
      <c r="G33" s="11">
        <f t="shared" si="1"/>
        <v>5724</v>
      </c>
      <c r="H33" s="23"/>
      <c r="I33" s="9">
        <f>G33/(B7+B9)</f>
        <v>2.0442857142857145</v>
      </c>
      <c r="J33" s="5"/>
      <c r="K33" s="34"/>
      <c r="N33" s="78"/>
      <c r="O33" s="81"/>
      <c r="P33" s="78"/>
      <c r="Q33" s="78"/>
      <c r="R33" s="78"/>
      <c r="S33" s="78"/>
      <c r="T33" s="78"/>
      <c r="U33" s="78"/>
      <c r="V33" s="78"/>
    </row>
    <row r="34" spans="1:22" ht="15.75" thickBot="1" x14ac:dyDescent="0.3">
      <c r="A34" s="2"/>
      <c r="B34" s="199" t="s">
        <v>113</v>
      </c>
      <c r="C34" s="27">
        <f>D34/(B7+B9)</f>
        <v>0</v>
      </c>
      <c r="D34" s="200">
        <v>0</v>
      </c>
      <c r="E34" s="201"/>
      <c r="F34" s="14">
        <v>0</v>
      </c>
      <c r="G34" s="11">
        <f t="shared" si="1"/>
        <v>0</v>
      </c>
      <c r="H34" s="23"/>
      <c r="I34" s="9">
        <f>G34/(B7+B9)</f>
        <v>0</v>
      </c>
      <c r="J34" s="5"/>
      <c r="K34" s="34"/>
      <c r="N34" s="78"/>
      <c r="O34" s="81"/>
      <c r="P34" s="78"/>
      <c r="Q34" s="78"/>
      <c r="R34" s="78"/>
      <c r="S34" s="78"/>
      <c r="T34" s="78"/>
      <c r="U34" s="78"/>
      <c r="V34" s="78"/>
    </row>
    <row r="35" spans="1:22" x14ac:dyDescent="0.25">
      <c r="A35" s="2">
        <v>4</v>
      </c>
      <c r="B35" s="8" t="s">
        <v>101</v>
      </c>
      <c r="C35" s="26"/>
      <c r="D35" s="6"/>
      <c r="E35" s="26"/>
      <c r="F35" s="15"/>
      <c r="G35" s="12"/>
      <c r="H35" s="20">
        <f>G36+G37+G38+G39+G41+G42+G43+G44+G45+G46+G47+G48+G51+G49+G50+G40</f>
        <v>219028.07999999996</v>
      </c>
      <c r="I35" s="18"/>
      <c r="J35" s="20">
        <f>I37+I44+I45+I51</f>
        <v>22.105428571428572</v>
      </c>
      <c r="K35" s="35">
        <f>H35/H137</f>
        <v>0.26335361461443807</v>
      </c>
      <c r="N35" s="180"/>
      <c r="O35" s="81"/>
      <c r="P35" s="78"/>
      <c r="Q35" s="78"/>
      <c r="R35" s="78"/>
      <c r="S35" s="78"/>
      <c r="T35" s="78"/>
      <c r="U35" s="78"/>
      <c r="V35" s="78"/>
    </row>
    <row r="36" spans="1:22" x14ac:dyDescent="0.25">
      <c r="A36" s="2"/>
      <c r="B36" s="5" t="s">
        <v>96</v>
      </c>
      <c r="C36" s="27">
        <f>D36/(B7+B9)</f>
        <v>1</v>
      </c>
      <c r="D36" s="190">
        <f>B7+B9</f>
        <v>2800</v>
      </c>
      <c r="E36" s="25" t="s">
        <v>194</v>
      </c>
      <c r="F36" s="38">
        <v>19.149999999999999</v>
      </c>
      <c r="G36" s="11">
        <f t="shared" ref="G36:G43" si="2">D36*F36</f>
        <v>53619.999999999993</v>
      </c>
      <c r="H36" s="40"/>
      <c r="I36" s="9">
        <f>G36/(B7+B9)</f>
        <v>19.149999999999999</v>
      </c>
      <c r="J36" s="40"/>
      <c r="K36" s="41"/>
      <c r="N36" s="178"/>
      <c r="O36" s="81"/>
      <c r="P36" s="78"/>
      <c r="Q36" s="78"/>
      <c r="R36" s="78"/>
      <c r="S36" s="78"/>
      <c r="T36" s="78"/>
      <c r="U36" s="78"/>
      <c r="V36" s="78"/>
    </row>
    <row r="37" spans="1:22" x14ac:dyDescent="0.25">
      <c r="A37" s="2"/>
      <c r="B37" s="5" t="s">
        <v>97</v>
      </c>
      <c r="C37" s="27">
        <f>D37/(B9+B7)</f>
        <v>1</v>
      </c>
      <c r="D37" s="210">
        <f>B7+B9</f>
        <v>2800</v>
      </c>
      <c r="E37" s="25" t="s">
        <v>194</v>
      </c>
      <c r="F37" s="14">
        <v>8.23</v>
      </c>
      <c r="G37" s="11">
        <f t="shared" si="2"/>
        <v>23044</v>
      </c>
      <c r="H37" s="23"/>
      <c r="I37" s="9">
        <f>G37/(B7+B9)</f>
        <v>8.23</v>
      </c>
      <c r="J37" s="5"/>
      <c r="K37" s="34"/>
      <c r="N37" s="178"/>
      <c r="O37" s="81"/>
      <c r="P37" s="78"/>
      <c r="Q37" s="78"/>
      <c r="R37" s="78"/>
      <c r="S37" s="78"/>
      <c r="T37" s="78"/>
      <c r="U37" s="78"/>
      <c r="V37" s="78"/>
    </row>
    <row r="38" spans="1:22" x14ac:dyDescent="0.25">
      <c r="A38" s="2"/>
      <c r="B38" s="5" t="s">
        <v>98</v>
      </c>
      <c r="C38" s="27">
        <f>D38/(B9+B7)</f>
        <v>0.91785714285714282</v>
      </c>
      <c r="D38" s="190">
        <f>B7+G7+E7+C7</f>
        <v>2570</v>
      </c>
      <c r="E38" s="25" t="s">
        <v>189</v>
      </c>
      <c r="F38" s="14">
        <v>9.1</v>
      </c>
      <c r="G38" s="11">
        <f>D38*F38</f>
        <v>23387</v>
      </c>
      <c r="H38" s="23"/>
      <c r="I38" s="9">
        <f>G38/(B7+B9)</f>
        <v>8.3524999999999991</v>
      </c>
      <c r="J38" s="5"/>
      <c r="K38" s="34"/>
      <c r="N38" s="178"/>
      <c r="O38" s="81"/>
      <c r="P38" s="78"/>
      <c r="Q38" s="78"/>
      <c r="R38" s="78"/>
      <c r="S38" s="78"/>
      <c r="T38" s="78"/>
      <c r="U38" s="78"/>
      <c r="V38" s="78"/>
    </row>
    <row r="39" spans="1:22" x14ac:dyDescent="0.25">
      <c r="A39" s="2"/>
      <c r="B39" s="5" t="s">
        <v>67</v>
      </c>
      <c r="C39" s="27">
        <f>D39/(B9+B7)</f>
        <v>0.17178571428571429</v>
      </c>
      <c r="D39" s="190">
        <f>G7</f>
        <v>481</v>
      </c>
      <c r="E39" s="25" t="s">
        <v>190</v>
      </c>
      <c r="F39" s="14">
        <v>13.88</v>
      </c>
      <c r="G39" s="11">
        <f t="shared" si="2"/>
        <v>6676.2800000000007</v>
      </c>
      <c r="H39" s="23"/>
      <c r="I39" s="9">
        <f>G39/(B7+B9)</f>
        <v>2.3843857142857146</v>
      </c>
      <c r="J39" s="5"/>
      <c r="K39" s="34"/>
      <c r="N39" s="179"/>
      <c r="O39" s="94"/>
      <c r="P39" s="78"/>
      <c r="Q39" s="78"/>
      <c r="R39" s="78"/>
      <c r="S39" s="78"/>
      <c r="T39" s="78"/>
      <c r="U39" s="78"/>
      <c r="V39" s="78"/>
    </row>
    <row r="40" spans="1:22" x14ac:dyDescent="0.25">
      <c r="A40" s="2"/>
      <c r="B40" s="5" t="s">
        <v>163</v>
      </c>
      <c r="C40" s="27">
        <f>D40/(B9+B7)</f>
        <v>0.38535714285714284</v>
      </c>
      <c r="D40" s="189">
        <f>C7+D7</f>
        <v>1079</v>
      </c>
      <c r="E40" s="25" t="s">
        <v>191</v>
      </c>
      <c r="F40" s="14">
        <v>12.2</v>
      </c>
      <c r="G40" s="11">
        <f t="shared" si="2"/>
        <v>13163.8</v>
      </c>
      <c r="H40" s="23"/>
      <c r="I40" s="9"/>
      <c r="J40" s="5"/>
      <c r="K40" s="34"/>
      <c r="N40" s="179"/>
      <c r="O40" s="94"/>
      <c r="P40" s="78"/>
      <c r="Q40" s="78"/>
      <c r="R40" s="78"/>
      <c r="S40" s="78"/>
      <c r="T40" s="78"/>
      <c r="U40" s="78"/>
      <c r="V40" s="78"/>
    </row>
    <row r="41" spans="1:22" x14ac:dyDescent="0.25">
      <c r="A41" s="2"/>
      <c r="B41" s="5" t="s">
        <v>99</v>
      </c>
      <c r="C41" s="27">
        <f>D41/(B9+B7)</f>
        <v>0.3392857142857143</v>
      </c>
      <c r="D41" s="190">
        <f>B11</f>
        <v>950</v>
      </c>
      <c r="E41" s="25" t="s">
        <v>192</v>
      </c>
      <c r="F41" s="14">
        <v>12.2</v>
      </c>
      <c r="G41" s="39">
        <f t="shared" si="2"/>
        <v>11590</v>
      </c>
      <c r="H41" s="23"/>
      <c r="I41" s="9">
        <f>G41/(B7+B9)</f>
        <v>4.1392857142857142</v>
      </c>
      <c r="J41" s="5"/>
      <c r="K41" s="34"/>
      <c r="N41" s="179"/>
      <c r="O41" s="94"/>
      <c r="P41" s="78"/>
      <c r="Q41" s="78"/>
      <c r="R41" s="78"/>
      <c r="S41" s="78"/>
      <c r="T41" s="78"/>
      <c r="U41" s="78"/>
      <c r="V41" s="78"/>
    </row>
    <row r="42" spans="1:22" x14ac:dyDescent="0.25">
      <c r="A42" s="2"/>
      <c r="B42" s="5" t="s">
        <v>173</v>
      </c>
      <c r="C42" s="27">
        <f>D42/(B9+B7)</f>
        <v>0.3392857142857143</v>
      </c>
      <c r="D42" s="190">
        <f>B11</f>
        <v>950</v>
      </c>
      <c r="E42" s="25" t="s">
        <v>192</v>
      </c>
      <c r="F42" s="14">
        <v>8.89</v>
      </c>
      <c r="G42" s="39">
        <f t="shared" si="2"/>
        <v>8445.5</v>
      </c>
      <c r="H42" s="23"/>
      <c r="I42" s="9">
        <f>G42/(B7+B9)</f>
        <v>3.0162499999999999</v>
      </c>
      <c r="J42" s="5"/>
      <c r="K42" s="34"/>
      <c r="N42" s="178"/>
      <c r="O42" s="111"/>
      <c r="P42" s="78"/>
      <c r="Q42" s="78"/>
      <c r="R42" s="78"/>
      <c r="S42" s="78"/>
      <c r="T42" s="78"/>
      <c r="U42" s="78"/>
      <c r="V42" s="78"/>
    </row>
    <row r="43" spans="1:22" x14ac:dyDescent="0.25">
      <c r="A43" s="2"/>
      <c r="B43" s="5" t="s">
        <v>88</v>
      </c>
      <c r="C43" s="27">
        <f>D43/(B9+B7)</f>
        <v>0</v>
      </c>
      <c r="D43" s="190">
        <f>H7</f>
        <v>0</v>
      </c>
      <c r="E43" s="25" t="s">
        <v>193</v>
      </c>
      <c r="F43" s="14">
        <v>44.5</v>
      </c>
      <c r="G43" s="39">
        <f t="shared" si="2"/>
        <v>0</v>
      </c>
      <c r="H43" s="23"/>
      <c r="I43" s="9">
        <f>G43/B7</f>
        <v>0</v>
      </c>
      <c r="J43" s="5"/>
      <c r="K43" s="34"/>
      <c r="N43" s="178"/>
      <c r="O43" s="111"/>
      <c r="P43" s="78"/>
      <c r="Q43" s="78"/>
      <c r="R43" s="78"/>
      <c r="S43" s="78"/>
      <c r="T43" s="78"/>
      <c r="U43" s="78"/>
      <c r="V43" s="78"/>
    </row>
    <row r="44" spans="1:22" x14ac:dyDescent="0.25">
      <c r="A44" s="2"/>
      <c r="B44" s="5" t="s">
        <v>125</v>
      </c>
      <c r="C44" s="27">
        <f>D44/(B9+B7)</f>
        <v>5.7142857142857143E-3</v>
      </c>
      <c r="D44" s="189">
        <v>16</v>
      </c>
      <c r="E44" s="25" t="s">
        <v>162</v>
      </c>
      <c r="F44" s="14">
        <v>118.2</v>
      </c>
      <c r="G44" s="39">
        <f t="shared" si="1"/>
        <v>1891.2</v>
      </c>
      <c r="H44" s="23"/>
      <c r="I44" s="9">
        <f>G44/(B7+B9)</f>
        <v>0.67542857142857149</v>
      </c>
      <c r="J44" s="5"/>
      <c r="K44" s="34"/>
      <c r="N44" s="178"/>
      <c r="O44" s="110"/>
      <c r="P44" s="78"/>
      <c r="Q44" s="78"/>
      <c r="R44" s="78"/>
      <c r="S44" s="78"/>
      <c r="T44" s="78"/>
      <c r="U44" s="78"/>
      <c r="V44" s="78"/>
    </row>
    <row r="45" spans="1:22" x14ac:dyDescent="0.25">
      <c r="A45" s="2"/>
      <c r="B45" s="5" t="s">
        <v>120</v>
      </c>
      <c r="C45" s="27">
        <f>D45/(B9+B7)</f>
        <v>1</v>
      </c>
      <c r="D45" s="190">
        <f>B7+B9</f>
        <v>2800</v>
      </c>
      <c r="E45" s="25" t="s">
        <v>194</v>
      </c>
      <c r="F45" s="14">
        <v>13.2</v>
      </c>
      <c r="G45" s="39">
        <f t="shared" si="1"/>
        <v>36960</v>
      </c>
      <c r="H45" s="23"/>
      <c r="I45" s="9">
        <f>G45/(B7+B9)</f>
        <v>13.2</v>
      </c>
      <c r="J45" s="5"/>
      <c r="K45" s="34"/>
      <c r="N45" s="165"/>
      <c r="O45" s="81"/>
      <c r="P45" s="78"/>
      <c r="Q45" s="78"/>
      <c r="R45" s="78"/>
      <c r="S45" s="78"/>
      <c r="T45" s="78"/>
      <c r="U45" s="78"/>
      <c r="V45" s="78"/>
    </row>
    <row r="46" spans="1:22" x14ac:dyDescent="0.25">
      <c r="A46" s="2"/>
      <c r="B46" s="5" t="s">
        <v>123</v>
      </c>
      <c r="C46" s="27">
        <f>D46/(B7+B9)</f>
        <v>0.17178571428571429</v>
      </c>
      <c r="D46" s="190">
        <f>G7</f>
        <v>481</v>
      </c>
      <c r="E46" s="25" t="str">
        <f>E39</f>
        <v>sq. ft. garage</v>
      </c>
      <c r="F46" s="14">
        <v>5.4</v>
      </c>
      <c r="G46" s="39">
        <f t="shared" si="1"/>
        <v>2597.4</v>
      </c>
      <c r="H46" s="23"/>
      <c r="I46" s="9">
        <f>G46/(B7+B9)</f>
        <v>0.92764285714285721</v>
      </c>
      <c r="J46" s="5"/>
      <c r="K46" s="34"/>
      <c r="N46" s="117"/>
      <c r="O46" s="81"/>
      <c r="P46" s="78"/>
      <c r="Q46" s="78"/>
      <c r="R46" s="78"/>
      <c r="S46" s="78"/>
      <c r="T46" s="78"/>
      <c r="U46" s="78"/>
      <c r="V46" s="78"/>
    </row>
    <row r="47" spans="1:22" x14ac:dyDescent="0.25">
      <c r="A47" s="2"/>
      <c r="B47" s="5" t="s">
        <v>124</v>
      </c>
      <c r="C47" s="27">
        <f>D47/(B7+B9)</f>
        <v>2.3928571428571428E-2</v>
      </c>
      <c r="D47" s="190">
        <f>F7</f>
        <v>67</v>
      </c>
      <c r="E47" s="25" t="s">
        <v>31</v>
      </c>
      <c r="F47" s="14">
        <v>45.5</v>
      </c>
      <c r="G47" s="39">
        <f t="shared" si="1"/>
        <v>3048.5</v>
      </c>
      <c r="H47" s="23"/>
      <c r="I47" s="9">
        <f>G47/(B7+B9)</f>
        <v>1.0887500000000001</v>
      </c>
      <c r="J47" s="5"/>
      <c r="K47" s="34"/>
      <c r="N47" s="117"/>
      <c r="O47" s="81"/>
      <c r="P47" s="78"/>
      <c r="Q47" s="78"/>
      <c r="R47" s="78"/>
      <c r="S47" s="78"/>
      <c r="T47" s="78"/>
      <c r="U47" s="78"/>
      <c r="V47" s="78"/>
    </row>
    <row r="48" spans="1:22" x14ac:dyDescent="0.25">
      <c r="A48" s="2"/>
      <c r="B48" s="5" t="s">
        <v>122</v>
      </c>
      <c r="C48" s="27">
        <f>D48/(B7+B9)</f>
        <v>0.4132142857142857</v>
      </c>
      <c r="D48" s="190">
        <f>C7+D7+E7</f>
        <v>1157</v>
      </c>
      <c r="E48" s="25" t="str">
        <f>E40</f>
        <v>sq. ft. deck</v>
      </c>
      <c r="F48" s="14">
        <v>14.2</v>
      </c>
      <c r="G48" s="39">
        <f t="shared" si="1"/>
        <v>16429.399999999998</v>
      </c>
      <c r="H48" s="23"/>
      <c r="I48" s="9">
        <f>G48/(B7+B9)</f>
        <v>5.8676428571428563</v>
      </c>
      <c r="J48" s="5"/>
      <c r="K48" s="34"/>
      <c r="N48" s="117"/>
      <c r="O48" s="81"/>
      <c r="P48" s="78"/>
      <c r="Q48" s="78"/>
      <c r="R48" s="78"/>
      <c r="S48" s="78"/>
      <c r="T48" s="78"/>
      <c r="U48" s="78"/>
      <c r="V48" s="78"/>
    </row>
    <row r="49" spans="1:22" x14ac:dyDescent="0.25">
      <c r="A49" s="2"/>
      <c r="B49" s="5" t="s">
        <v>121</v>
      </c>
      <c r="C49" s="27">
        <f>D49/(B7+B9)</f>
        <v>0.3392857142857143</v>
      </c>
      <c r="D49" s="211">
        <f>B11</f>
        <v>950</v>
      </c>
      <c r="E49" s="25" t="str">
        <f>E41</f>
        <v>sq. ft. basement</v>
      </c>
      <c r="F49" s="14">
        <v>6.5</v>
      </c>
      <c r="G49" s="39">
        <f t="shared" ref="G49:G50" si="3">D49*F49</f>
        <v>6175</v>
      </c>
      <c r="H49" s="23"/>
      <c r="I49" s="9">
        <f>G49/(B7+B9)</f>
        <v>2.2053571428571428</v>
      </c>
      <c r="J49" s="5"/>
      <c r="K49" s="34"/>
      <c r="N49" s="117"/>
      <c r="O49" s="81"/>
      <c r="P49" s="78"/>
      <c r="Q49" s="78"/>
      <c r="R49" s="78"/>
      <c r="S49" s="78"/>
      <c r="T49" s="78"/>
      <c r="U49" s="78"/>
      <c r="V49" s="78"/>
    </row>
    <row r="50" spans="1:22" x14ac:dyDescent="0.25">
      <c r="A50" s="2"/>
      <c r="B50" s="5" t="s">
        <v>150</v>
      </c>
      <c r="C50" s="27">
        <f>D50/(B7+B9)</f>
        <v>1.3392857142857142</v>
      </c>
      <c r="D50" s="211">
        <f>B7+B9+B11</f>
        <v>3750</v>
      </c>
      <c r="E50" s="25" t="s">
        <v>203</v>
      </c>
      <c r="F50" s="14">
        <v>3.2</v>
      </c>
      <c r="G50" s="39">
        <f t="shared" si="3"/>
        <v>12000</v>
      </c>
      <c r="H50" s="23"/>
      <c r="I50" s="9">
        <f>G50/(B7+B9)</f>
        <v>4.2857142857142856</v>
      </c>
      <c r="J50" s="5"/>
      <c r="K50" s="34"/>
      <c r="N50" s="117"/>
      <c r="O50" s="81"/>
      <c r="P50" s="78"/>
      <c r="Q50" s="78"/>
      <c r="R50" s="78"/>
      <c r="S50" s="78"/>
      <c r="T50" s="78"/>
      <c r="U50" s="78"/>
      <c r="V50" s="78"/>
    </row>
    <row r="51" spans="1:22" x14ac:dyDescent="0.25">
      <c r="A51" s="2"/>
      <c r="B51" s="162" t="s">
        <v>113</v>
      </c>
      <c r="C51" s="27">
        <f>D51/(B9+B7)</f>
        <v>0</v>
      </c>
      <c r="D51" s="200">
        <v>0</v>
      </c>
      <c r="E51" s="201"/>
      <c r="F51" s="14">
        <v>0</v>
      </c>
      <c r="G51" s="39">
        <f t="shared" si="1"/>
        <v>0</v>
      </c>
      <c r="H51" s="23"/>
      <c r="I51" s="9">
        <f>G51/(B7+B9)</f>
        <v>0</v>
      </c>
      <c r="J51" s="5"/>
      <c r="K51" s="34"/>
      <c r="N51" s="117"/>
      <c r="O51" s="81"/>
      <c r="P51" s="78"/>
      <c r="Q51" s="78"/>
      <c r="R51" s="81"/>
      <c r="S51" s="78"/>
      <c r="T51" s="81"/>
      <c r="U51" s="78"/>
      <c r="V51" s="78"/>
    </row>
    <row r="52" spans="1:22" x14ac:dyDescent="0.25">
      <c r="A52" s="2">
        <v>5</v>
      </c>
      <c r="B52" s="8" t="s">
        <v>136</v>
      </c>
      <c r="C52" s="26"/>
      <c r="D52" s="6"/>
      <c r="E52" s="26"/>
      <c r="F52" s="15"/>
      <c r="G52" s="12"/>
      <c r="H52" s="20">
        <f>G53+G54+G56+G57+G58+G59+G60+G61+G62+G69+G63+G64+G65+G66+G67+G55</f>
        <v>129239.76539999999</v>
      </c>
      <c r="I52" s="18"/>
      <c r="J52" s="20">
        <f>I53+I54+I56+I57+I58+I59+I60+I61+I62+I69</f>
        <v>32.457652785714288</v>
      </c>
      <c r="K52" s="35">
        <f>H52/H137</f>
        <v>0.15539450179178849</v>
      </c>
      <c r="N52" s="165"/>
      <c r="O52" s="81"/>
      <c r="P52" s="78"/>
      <c r="Q52" s="78"/>
      <c r="R52" s="81"/>
      <c r="S52" s="78"/>
      <c r="T52" s="81"/>
      <c r="U52" s="78"/>
      <c r="V52" s="78"/>
    </row>
    <row r="53" spans="1:22" x14ac:dyDescent="0.25">
      <c r="A53" s="2"/>
      <c r="B53" s="5" t="s">
        <v>49</v>
      </c>
      <c r="C53" s="27">
        <f>D53/(B7+B9)</f>
        <v>0.21092142857142854</v>
      </c>
      <c r="D53" s="7">
        <f>D54*0.18</f>
        <v>590.57999999999993</v>
      </c>
      <c r="E53" s="25" t="s">
        <v>31</v>
      </c>
      <c r="F53" s="14">
        <v>7.15</v>
      </c>
      <c r="G53" s="11">
        <f t="shared" si="1"/>
        <v>4222.6469999999999</v>
      </c>
      <c r="H53" s="23"/>
      <c r="I53" s="9">
        <f>G53/(B7+B9)</f>
        <v>1.5080882142857142</v>
      </c>
      <c r="J53" s="5"/>
      <c r="K53" s="34"/>
      <c r="N53" s="165"/>
      <c r="O53" s="94"/>
      <c r="P53" s="78"/>
      <c r="Q53" s="78"/>
      <c r="R53" s="78"/>
      <c r="S53" s="78"/>
      <c r="T53" s="78"/>
      <c r="U53" s="78"/>
      <c r="V53" s="78"/>
    </row>
    <row r="54" spans="1:22" x14ac:dyDescent="0.25">
      <c r="A54" s="2"/>
      <c r="B54" s="5" t="s">
        <v>126</v>
      </c>
      <c r="C54" s="27">
        <f>D54/(B7+B9)</f>
        <v>1.1717857142857142</v>
      </c>
      <c r="D54" s="7">
        <f>B7+B9+G7</f>
        <v>3281</v>
      </c>
      <c r="E54" s="25" t="s">
        <v>195</v>
      </c>
      <c r="F54" s="14">
        <v>8.1999999999999993</v>
      </c>
      <c r="G54" s="11">
        <f>D54*F54</f>
        <v>26904.199999999997</v>
      </c>
      <c r="H54" s="23"/>
      <c r="I54" s="9">
        <f>G54/(B7+B9)</f>
        <v>9.6086428571428559</v>
      </c>
      <c r="J54" s="5"/>
      <c r="K54" s="34"/>
      <c r="N54" s="165"/>
      <c r="O54" s="81"/>
      <c r="P54" s="78"/>
      <c r="Q54" s="78"/>
      <c r="R54" s="78"/>
      <c r="S54" s="78"/>
      <c r="T54" s="78"/>
      <c r="U54" s="78"/>
      <c r="V54" s="78"/>
    </row>
    <row r="55" spans="1:22" x14ac:dyDescent="0.25">
      <c r="A55" s="2"/>
      <c r="B55" s="5" t="s">
        <v>174</v>
      </c>
      <c r="C55" s="27">
        <f>D55/(B9+B7)</f>
        <v>0.14061428571428569</v>
      </c>
      <c r="D55" s="7">
        <f>D54*0.12</f>
        <v>393.71999999999997</v>
      </c>
      <c r="E55" s="25" t="s">
        <v>196</v>
      </c>
      <c r="F55" s="14">
        <v>18.579999999999998</v>
      </c>
      <c r="G55" s="39">
        <f>D55*F55</f>
        <v>7315.3175999999985</v>
      </c>
      <c r="H55" s="23"/>
      <c r="I55" s="9">
        <f>G55/(B9+B7)</f>
        <v>2.6126134285714282</v>
      </c>
      <c r="J55" s="5"/>
      <c r="K55" s="34"/>
      <c r="M55" s="55"/>
      <c r="N55" s="165"/>
      <c r="O55" s="84"/>
      <c r="P55" s="78"/>
      <c r="Q55" s="78"/>
      <c r="R55" s="78"/>
      <c r="S55" s="78"/>
      <c r="T55" s="78"/>
      <c r="U55" s="78"/>
      <c r="V55" s="78"/>
    </row>
    <row r="56" spans="1:22" x14ac:dyDescent="0.25">
      <c r="A56" s="2"/>
      <c r="B56" s="5" t="s">
        <v>50</v>
      </c>
      <c r="C56" s="27">
        <f>D56/(B7+B9)</f>
        <v>0</v>
      </c>
      <c r="D56" s="162">
        <v>0</v>
      </c>
      <c r="E56" s="25" t="s">
        <v>202</v>
      </c>
      <c r="F56" s="91">
        <v>12.4</v>
      </c>
      <c r="G56" s="67">
        <f t="shared" si="1"/>
        <v>0</v>
      </c>
      <c r="H56" s="23"/>
      <c r="I56" s="9">
        <f>G56/(B7+B9)</f>
        <v>0</v>
      </c>
      <c r="J56" s="5"/>
      <c r="K56" s="34"/>
      <c r="M56" s="55"/>
      <c r="N56" s="165"/>
      <c r="O56" s="112"/>
      <c r="P56" s="78"/>
      <c r="Q56" s="78"/>
      <c r="R56" s="78"/>
      <c r="S56" s="78"/>
      <c r="T56" s="78"/>
      <c r="U56" s="78"/>
      <c r="V56" s="78"/>
    </row>
    <row r="57" spans="1:22" x14ac:dyDescent="0.25">
      <c r="A57" s="2"/>
      <c r="B57" s="5" t="s">
        <v>51</v>
      </c>
      <c r="C57" s="27">
        <f>D57/(B7+B9)</f>
        <v>2.7857142857142858E-2</v>
      </c>
      <c r="D57" s="192">
        <f>E7</f>
        <v>78</v>
      </c>
      <c r="E57" s="25" t="s">
        <v>201</v>
      </c>
      <c r="F57" s="91">
        <v>12.4</v>
      </c>
      <c r="G57" s="67">
        <f t="shared" si="1"/>
        <v>967.2</v>
      </c>
      <c r="H57" s="23"/>
      <c r="I57" s="9">
        <f>G57/(B7+B9)</f>
        <v>0.34542857142857142</v>
      </c>
      <c r="J57" s="5"/>
      <c r="K57" s="34"/>
      <c r="N57" s="165"/>
      <c r="O57" s="81"/>
      <c r="P57" s="78"/>
      <c r="Q57" s="78"/>
      <c r="R57" s="78"/>
      <c r="S57" s="78"/>
      <c r="T57" s="78"/>
      <c r="U57" s="78"/>
      <c r="V57" s="78"/>
    </row>
    <row r="58" spans="1:22" x14ac:dyDescent="0.25">
      <c r="A58" s="2"/>
      <c r="B58" s="5" t="s">
        <v>28</v>
      </c>
      <c r="C58" s="27">
        <f>D58/(B7+B9)</f>
        <v>0.02</v>
      </c>
      <c r="D58" s="192">
        <f>J7</f>
        <v>56</v>
      </c>
      <c r="E58" s="25" t="s">
        <v>21</v>
      </c>
      <c r="F58" s="14">
        <v>654</v>
      </c>
      <c r="G58" s="39">
        <f t="shared" si="1"/>
        <v>36624</v>
      </c>
      <c r="H58" s="23"/>
      <c r="I58" s="9">
        <f>G58/(B7+B9)</f>
        <v>13.08</v>
      </c>
      <c r="J58" s="5"/>
      <c r="K58" s="34"/>
      <c r="N58" s="165"/>
      <c r="O58" s="81"/>
      <c r="P58" s="78"/>
      <c r="Q58" s="78"/>
      <c r="R58" s="78"/>
      <c r="S58" s="78"/>
      <c r="T58" s="78"/>
      <c r="U58" s="78"/>
      <c r="V58" s="78"/>
    </row>
    <row r="59" spans="1:22" x14ac:dyDescent="0.25">
      <c r="A59" s="2"/>
      <c r="B59" s="5" t="s">
        <v>78</v>
      </c>
      <c r="C59" s="27">
        <f>D59/(B7+B9)</f>
        <v>1</v>
      </c>
      <c r="D59" s="190">
        <f>B7+B9</f>
        <v>2800</v>
      </c>
      <c r="E59" s="25" t="s">
        <v>186</v>
      </c>
      <c r="F59" s="66">
        <v>0.5</v>
      </c>
      <c r="G59" s="67">
        <f t="shared" si="1"/>
        <v>1400</v>
      </c>
      <c r="H59" s="23"/>
      <c r="I59" s="9">
        <f>G59/(B7+B9)</f>
        <v>0.5</v>
      </c>
      <c r="J59" s="5"/>
      <c r="K59" s="34"/>
      <c r="N59" s="165"/>
      <c r="O59" s="81"/>
      <c r="P59" s="78"/>
      <c r="Q59" s="78"/>
      <c r="R59" s="78"/>
      <c r="S59" s="78"/>
      <c r="T59" s="78"/>
      <c r="U59" s="78"/>
      <c r="V59" s="78"/>
    </row>
    <row r="60" spans="1:22" x14ac:dyDescent="0.25">
      <c r="A60" s="2"/>
      <c r="B60" s="5" t="s">
        <v>29</v>
      </c>
      <c r="C60" s="27">
        <f>D60/(B7+B9)</f>
        <v>3.5714285714285714E-4</v>
      </c>
      <c r="D60" s="192">
        <f>K7</f>
        <v>1</v>
      </c>
      <c r="E60" s="25" t="s">
        <v>22</v>
      </c>
      <c r="F60" s="14">
        <v>1423</v>
      </c>
      <c r="G60" s="39">
        <f t="shared" si="1"/>
        <v>1423</v>
      </c>
      <c r="H60" s="23"/>
      <c r="I60" s="9">
        <f>G60/(B7+B9)</f>
        <v>0.50821428571428573</v>
      </c>
      <c r="J60" s="5"/>
      <c r="K60" s="34"/>
      <c r="N60" s="165"/>
      <c r="O60" s="84"/>
      <c r="P60" s="78"/>
      <c r="Q60" s="78"/>
      <c r="R60" s="78"/>
      <c r="S60" s="78"/>
      <c r="T60" s="78"/>
      <c r="U60" s="78"/>
      <c r="V60" s="78"/>
    </row>
    <row r="61" spans="1:22" x14ac:dyDescent="0.25">
      <c r="A61" s="2"/>
      <c r="B61" s="5" t="s">
        <v>46</v>
      </c>
      <c r="C61" s="27">
        <f>D61/(B7+B9)</f>
        <v>1.1932142857142858</v>
      </c>
      <c r="D61" s="210">
        <f>((B7+G7+C7+E7)*0.3)+B7+G7+C7+E7</f>
        <v>3341</v>
      </c>
      <c r="E61" s="25" t="s">
        <v>200</v>
      </c>
      <c r="F61" s="14">
        <v>4.32</v>
      </c>
      <c r="G61" s="39">
        <f t="shared" si="1"/>
        <v>14433.12</v>
      </c>
      <c r="H61" s="23"/>
      <c r="I61" s="9">
        <f>G61/(B7+B9)</f>
        <v>5.1546857142857148</v>
      </c>
      <c r="J61" s="5"/>
      <c r="K61" s="34"/>
      <c r="N61" s="165"/>
      <c r="O61" s="81"/>
      <c r="P61" s="78"/>
      <c r="Q61" s="78"/>
      <c r="R61" s="78"/>
      <c r="S61" s="78"/>
      <c r="T61" s="78"/>
      <c r="U61" s="78"/>
      <c r="V61" s="78"/>
    </row>
    <row r="62" spans="1:22" x14ac:dyDescent="0.25">
      <c r="A62" s="2"/>
      <c r="B62" s="5" t="s">
        <v>47</v>
      </c>
      <c r="C62" s="27">
        <f>D62/(B7+B9)</f>
        <v>0.14318571428571428</v>
      </c>
      <c r="D62" s="191">
        <f>D61*0.12</f>
        <v>400.91999999999996</v>
      </c>
      <c r="E62" s="25" t="s">
        <v>31</v>
      </c>
      <c r="F62" s="14">
        <v>12.24</v>
      </c>
      <c r="G62" s="39">
        <f t="shared" si="1"/>
        <v>4907.2608</v>
      </c>
      <c r="H62" s="23"/>
      <c r="I62" s="9">
        <f>G62/(B7+B9)</f>
        <v>1.7525931428571428</v>
      </c>
      <c r="J62" s="5"/>
      <c r="K62" s="34"/>
      <c r="N62" s="165"/>
      <c r="O62" s="167"/>
      <c r="P62" s="78"/>
      <c r="Q62" s="78"/>
      <c r="R62" s="78"/>
      <c r="S62" s="78"/>
      <c r="T62" s="78"/>
      <c r="U62" s="78"/>
      <c r="V62" s="78"/>
    </row>
    <row r="63" spans="1:22" x14ac:dyDescent="0.25">
      <c r="A63" s="2"/>
      <c r="B63" s="5" t="s">
        <v>137</v>
      </c>
      <c r="C63" s="27">
        <f>D63/(B7+B9)</f>
        <v>1.1717857142857142</v>
      </c>
      <c r="D63" s="190">
        <f>B7+B9+G7</f>
        <v>3281</v>
      </c>
      <c r="E63" s="25" t="s">
        <v>199</v>
      </c>
      <c r="F63" s="14">
        <v>2.5499999999999998</v>
      </c>
      <c r="G63" s="39">
        <f t="shared" si="1"/>
        <v>8366.5499999999993</v>
      </c>
      <c r="H63" s="23"/>
      <c r="I63" s="9">
        <f>G63/(B7+B9)</f>
        <v>2.988053571428571</v>
      </c>
      <c r="J63" s="5"/>
      <c r="K63" s="34"/>
      <c r="N63" s="165"/>
      <c r="O63" s="166"/>
      <c r="P63" s="78"/>
      <c r="Q63" s="78"/>
      <c r="R63" s="78"/>
      <c r="S63" s="78"/>
      <c r="T63" s="78"/>
      <c r="U63" s="78"/>
      <c r="V63" s="78"/>
    </row>
    <row r="64" spans="1:22" x14ac:dyDescent="0.25">
      <c r="A64" s="2"/>
      <c r="B64" s="5" t="s">
        <v>59</v>
      </c>
      <c r="C64" s="27">
        <f>D64/(B7+B9)</f>
        <v>0.81464285714285711</v>
      </c>
      <c r="D64" s="190">
        <f>B7+G7</f>
        <v>2281</v>
      </c>
      <c r="E64" s="25" t="s">
        <v>187</v>
      </c>
      <c r="F64" s="14">
        <v>3.25</v>
      </c>
      <c r="G64" s="39">
        <f t="shared" si="1"/>
        <v>7413.25</v>
      </c>
      <c r="H64" s="23"/>
      <c r="I64" s="9">
        <f>G64/(B7+B9)</f>
        <v>2.6475892857142855</v>
      </c>
      <c r="J64" s="5"/>
      <c r="K64" s="34"/>
      <c r="N64" s="165"/>
      <c r="O64" s="166"/>
    </row>
    <row r="65" spans="1:15" x14ac:dyDescent="0.25">
      <c r="A65" s="2"/>
      <c r="B65" s="5" t="s">
        <v>86</v>
      </c>
      <c r="C65" s="27">
        <f>D65/(B7+B9)</f>
        <v>1.5110714285714286</v>
      </c>
      <c r="D65" s="190">
        <f>B7+B9+B11+G7</f>
        <v>4231</v>
      </c>
      <c r="E65" s="25" t="s">
        <v>198</v>
      </c>
      <c r="F65" s="14">
        <v>1.68</v>
      </c>
      <c r="G65" s="39">
        <f t="shared" si="1"/>
        <v>7108.08</v>
      </c>
      <c r="H65" s="23"/>
      <c r="I65" s="9">
        <f>G65/(B7+B9)</f>
        <v>2.5386000000000002</v>
      </c>
      <c r="J65" s="5"/>
      <c r="K65" s="34"/>
      <c r="N65" s="165"/>
      <c r="O65" s="166"/>
    </row>
    <row r="66" spans="1:15" x14ac:dyDescent="0.25">
      <c r="A66" s="2"/>
      <c r="B66" s="5" t="s">
        <v>60</v>
      </c>
      <c r="C66" s="27">
        <f>D66/(B7+B9)</f>
        <v>1.5110714285714286</v>
      </c>
      <c r="D66" s="190">
        <f>D65</f>
        <v>4231</v>
      </c>
      <c r="E66" s="25" t="s">
        <v>198</v>
      </c>
      <c r="F66" s="14">
        <v>1.44</v>
      </c>
      <c r="G66" s="39">
        <f t="shared" si="1"/>
        <v>6092.6399999999994</v>
      </c>
      <c r="H66" s="23"/>
      <c r="I66" s="9">
        <f>G66/(B7+B9)</f>
        <v>2.1759428571428567</v>
      </c>
      <c r="J66" s="5"/>
      <c r="K66" s="34"/>
      <c r="N66" s="165"/>
      <c r="O66" s="166"/>
    </row>
    <row r="67" spans="1:15" x14ac:dyDescent="0.25">
      <c r="A67" s="2"/>
      <c r="B67" s="5" t="s">
        <v>61</v>
      </c>
      <c r="C67" s="27">
        <f>D67/(B7+B9)</f>
        <v>1.3392857142857142</v>
      </c>
      <c r="D67" s="190">
        <f>B7+B9+B11</f>
        <v>3750</v>
      </c>
      <c r="E67" s="25" t="str">
        <f>E83</f>
        <v>sq ft all floors</v>
      </c>
      <c r="F67" s="14">
        <v>0.55000000000000004</v>
      </c>
      <c r="G67" s="39">
        <f t="shared" si="1"/>
        <v>2062.5</v>
      </c>
      <c r="H67" s="23"/>
      <c r="I67" s="9">
        <f>G67/(B7+B9)</f>
        <v>0.7366071428571429</v>
      </c>
      <c r="J67" s="5"/>
      <c r="K67" s="34"/>
      <c r="N67" s="165"/>
      <c r="O67" s="166"/>
    </row>
    <row r="68" spans="1:15" x14ac:dyDescent="0.25">
      <c r="A68" s="2"/>
      <c r="B68" s="5" t="s">
        <v>48</v>
      </c>
      <c r="C68" s="27">
        <f>D68/(B7+B9)</f>
        <v>0.29830357142857145</v>
      </c>
      <c r="D68" s="191">
        <f>D61*0.25</f>
        <v>835.25</v>
      </c>
      <c r="E68" s="25" t="s">
        <v>197</v>
      </c>
      <c r="F68" s="14">
        <v>6.45</v>
      </c>
      <c r="G68" s="11">
        <f>D68*F68</f>
        <v>5387.3625000000002</v>
      </c>
      <c r="H68" s="23"/>
      <c r="I68" s="9">
        <f>G68/(B7+B9)</f>
        <v>1.9240580357142858</v>
      </c>
      <c r="J68" s="5"/>
      <c r="K68" s="34"/>
      <c r="N68" s="165"/>
      <c r="O68" s="256"/>
    </row>
    <row r="69" spans="1:15" x14ac:dyDescent="0.25">
      <c r="A69" s="2"/>
      <c r="B69" s="162" t="s">
        <v>113</v>
      </c>
      <c r="C69" s="27">
        <f>D69/(B7+B9)</f>
        <v>0</v>
      </c>
      <c r="D69" s="162">
        <v>0</v>
      </c>
      <c r="E69" s="201"/>
      <c r="F69" s="14">
        <v>0</v>
      </c>
      <c r="G69" s="11">
        <f>D69*F69</f>
        <v>0</v>
      </c>
      <c r="H69" s="23"/>
      <c r="I69" s="9">
        <f>G69/(B7+B9)</f>
        <v>0</v>
      </c>
      <c r="J69" s="5"/>
      <c r="K69" s="34"/>
      <c r="N69" s="165"/>
      <c r="O69" s="138"/>
    </row>
    <row r="70" spans="1:15" x14ac:dyDescent="0.25">
      <c r="A70" s="2">
        <v>6</v>
      </c>
      <c r="B70" s="8" t="s">
        <v>52</v>
      </c>
      <c r="C70" s="26"/>
      <c r="D70" s="6"/>
      <c r="E70" s="26"/>
      <c r="F70" s="15"/>
      <c r="G70" s="12"/>
      <c r="H70" s="20">
        <f>G71+G79+G81+G83+G72+G73+G74+G75+G78+G82+G84+G76+G77</f>
        <v>49913</v>
      </c>
      <c r="I70" s="18"/>
      <c r="J70" s="20">
        <f>I71+I79+I81+I83</f>
        <v>11.534464285714286</v>
      </c>
      <c r="K70" s="35">
        <f>H70/H137</f>
        <v>6.0014081145442398E-2</v>
      </c>
      <c r="N70" s="117"/>
      <c r="O70" s="138"/>
    </row>
    <row r="71" spans="1:15" x14ac:dyDescent="0.25">
      <c r="A71" s="2"/>
      <c r="B71" s="5" t="s">
        <v>43</v>
      </c>
      <c r="C71" s="27">
        <f>D71/(B7+B9)</f>
        <v>1.0357142857142856E-2</v>
      </c>
      <c r="D71" s="190">
        <f>E9</f>
        <v>29</v>
      </c>
      <c r="E71" s="25" t="s">
        <v>58</v>
      </c>
      <c r="F71" s="14">
        <v>255</v>
      </c>
      <c r="G71" s="39">
        <f t="shared" si="1"/>
        <v>7395</v>
      </c>
      <c r="H71" s="23"/>
      <c r="I71" s="9">
        <f>G71/(B7+B9)</f>
        <v>2.6410714285714287</v>
      </c>
      <c r="J71" s="5"/>
      <c r="K71" s="34"/>
      <c r="N71" s="115"/>
      <c r="O71" s="1"/>
    </row>
    <row r="72" spans="1:15" x14ac:dyDescent="0.25">
      <c r="A72" s="2"/>
      <c r="B72" s="5" t="s">
        <v>53</v>
      </c>
      <c r="C72" s="27">
        <f>D72/(B7+B9)</f>
        <v>1.0357142857142856E-2</v>
      </c>
      <c r="D72" s="190">
        <f>D71</f>
        <v>29</v>
      </c>
      <c r="E72" s="25" t="s">
        <v>58</v>
      </c>
      <c r="F72" s="14">
        <v>95.5</v>
      </c>
      <c r="G72" s="39">
        <f t="shared" si="1"/>
        <v>2769.5</v>
      </c>
      <c r="H72" s="23"/>
      <c r="I72" s="9">
        <f>G72/(B7+B9)</f>
        <v>0.98910714285714285</v>
      </c>
      <c r="J72" s="5"/>
      <c r="K72" s="34"/>
      <c r="N72" s="118"/>
      <c r="O72" s="1"/>
    </row>
    <row r="73" spans="1:15" x14ac:dyDescent="0.25">
      <c r="A73" s="2"/>
      <c r="B73" s="5" t="s">
        <v>54</v>
      </c>
      <c r="C73" s="27">
        <f>D73/(B9+B7)</f>
        <v>0.02</v>
      </c>
      <c r="D73" s="190">
        <f>J7</f>
        <v>56</v>
      </c>
      <c r="E73" s="25" t="s">
        <v>58</v>
      </c>
      <c r="F73" s="14">
        <v>32</v>
      </c>
      <c r="G73" s="39">
        <f t="shared" si="1"/>
        <v>1792</v>
      </c>
      <c r="H73" s="23"/>
      <c r="I73" s="9">
        <f>G73/(B7+B9)</f>
        <v>0.64</v>
      </c>
      <c r="J73" s="5"/>
      <c r="K73" s="34"/>
      <c r="N73" s="118"/>
      <c r="O73" s="1"/>
    </row>
    <row r="74" spans="1:15" x14ac:dyDescent="0.25">
      <c r="A74" s="2"/>
      <c r="B74" s="5" t="s">
        <v>55</v>
      </c>
      <c r="C74" s="27">
        <f>D74/(B7+B9)</f>
        <v>0.02</v>
      </c>
      <c r="D74" s="190">
        <f>D73</f>
        <v>56</v>
      </c>
      <c r="E74" s="25" t="s">
        <v>58</v>
      </c>
      <c r="F74" s="14">
        <v>28</v>
      </c>
      <c r="G74" s="39">
        <f t="shared" si="1"/>
        <v>1568</v>
      </c>
      <c r="H74" s="23"/>
      <c r="I74" s="9">
        <f>G74/(B7+B9)</f>
        <v>0.56000000000000005</v>
      </c>
      <c r="J74" s="5"/>
      <c r="K74" s="34"/>
      <c r="N74" s="118"/>
      <c r="O74" s="1"/>
    </row>
    <row r="75" spans="1:15" x14ac:dyDescent="0.25">
      <c r="A75" s="2"/>
      <c r="B75" s="5" t="s">
        <v>57</v>
      </c>
      <c r="C75" s="27">
        <f>D75/(B7+B9)</f>
        <v>1.3392857142857142</v>
      </c>
      <c r="D75" s="4">
        <f>B7+B9+B11</f>
        <v>3750</v>
      </c>
      <c r="E75" s="25" t="str">
        <f>E83</f>
        <v>sq ft all floors</v>
      </c>
      <c r="F75" s="14">
        <v>0.22</v>
      </c>
      <c r="G75" s="39">
        <f t="shared" si="1"/>
        <v>825</v>
      </c>
      <c r="H75" s="23"/>
      <c r="I75" s="9">
        <f>G75/(B7+B9)</f>
        <v>0.29464285714285715</v>
      </c>
      <c r="J75" s="5"/>
      <c r="K75" s="34"/>
      <c r="N75" s="118"/>
      <c r="O75" s="1"/>
    </row>
    <row r="76" spans="1:15" x14ac:dyDescent="0.25">
      <c r="A76" s="2"/>
      <c r="B76" s="5" t="s">
        <v>232</v>
      </c>
      <c r="C76" s="27">
        <f>D76/(B7+B9)</f>
        <v>1.2500000000000001E-2</v>
      </c>
      <c r="D76" s="189">
        <v>35</v>
      </c>
      <c r="E76" s="25" t="s">
        <v>231</v>
      </c>
      <c r="F76" s="14">
        <v>18.5</v>
      </c>
      <c r="G76" s="39">
        <f t="shared" si="1"/>
        <v>647.5</v>
      </c>
      <c r="H76" s="23"/>
      <c r="I76" s="9">
        <f>G76/(B7+B9)</f>
        <v>0.23125000000000001</v>
      </c>
      <c r="J76" s="5"/>
      <c r="K76" s="34"/>
      <c r="N76" s="118"/>
      <c r="O76" s="1"/>
    </row>
    <row r="77" spans="1:15" x14ac:dyDescent="0.25">
      <c r="A77" s="2"/>
      <c r="B77" s="5" t="s">
        <v>233</v>
      </c>
      <c r="C77" s="27">
        <f>D77/(B7+B9)</f>
        <v>1.2500000000000001E-2</v>
      </c>
      <c r="D77" s="190">
        <f>D76</f>
        <v>35</v>
      </c>
      <c r="E77" s="25" t="s">
        <v>231</v>
      </c>
      <c r="F77" s="14">
        <v>25</v>
      </c>
      <c r="G77" s="39">
        <f t="shared" si="1"/>
        <v>875</v>
      </c>
      <c r="H77" s="23"/>
      <c r="I77" s="9">
        <f>G77/(B7+B9)</f>
        <v>0.3125</v>
      </c>
      <c r="J77" s="5"/>
      <c r="K77" s="34"/>
      <c r="N77" s="118"/>
      <c r="O77" s="1"/>
    </row>
    <row r="78" spans="1:15" x14ac:dyDescent="0.25">
      <c r="A78" s="2"/>
      <c r="B78" s="5" t="s">
        <v>56</v>
      </c>
      <c r="C78" s="27">
        <f>D78/(B7+B9)</f>
        <v>1.3392857142857142</v>
      </c>
      <c r="D78" s="32">
        <f>D75</f>
        <v>3750</v>
      </c>
      <c r="E78" s="25">
        <f>E85</f>
        <v>0</v>
      </c>
      <c r="F78" s="14">
        <v>0.45</v>
      </c>
      <c r="G78" s="39">
        <f t="shared" si="1"/>
        <v>1687.5</v>
      </c>
      <c r="H78" s="23"/>
      <c r="I78" s="9">
        <f>G78/(B7+B9)</f>
        <v>0.6026785714285714</v>
      </c>
      <c r="J78" s="5"/>
      <c r="K78" s="34"/>
      <c r="N78" s="116"/>
      <c r="O78" s="1"/>
    </row>
    <row r="79" spans="1:15" x14ac:dyDescent="0.25">
      <c r="A79" s="2"/>
      <c r="B79" s="5" t="s">
        <v>175</v>
      </c>
      <c r="C79" s="27">
        <f>D79/(B7+B9)</f>
        <v>1.3571428571428571E-2</v>
      </c>
      <c r="D79" s="192">
        <f>C9</f>
        <v>38</v>
      </c>
      <c r="E79" s="25" t="s">
        <v>31</v>
      </c>
      <c r="F79" s="14">
        <v>368</v>
      </c>
      <c r="G79" s="39">
        <f t="shared" si="1"/>
        <v>13984</v>
      </c>
      <c r="H79" s="23"/>
      <c r="I79" s="9">
        <f>G79/(B7+B9)</f>
        <v>4.9942857142857147</v>
      </c>
      <c r="J79" s="5"/>
      <c r="K79" s="34"/>
      <c r="N79" s="115"/>
      <c r="O79" s="1"/>
    </row>
    <row r="80" spans="1:15" x14ac:dyDescent="0.25">
      <c r="A80" s="2"/>
      <c r="B80" s="5" t="s">
        <v>144</v>
      </c>
      <c r="C80" s="27">
        <f>D80/(B7+B9)</f>
        <v>1.1785714285714287E-2</v>
      </c>
      <c r="D80" s="192">
        <f>D9</f>
        <v>33</v>
      </c>
      <c r="E80" s="25" t="s">
        <v>31</v>
      </c>
      <c r="F80" s="14">
        <v>168</v>
      </c>
      <c r="G80" s="39">
        <f t="shared" si="1"/>
        <v>5544</v>
      </c>
      <c r="H80" s="23"/>
      <c r="I80" s="9">
        <f>G80/(B7+B9)</f>
        <v>1.98</v>
      </c>
      <c r="J80" s="5"/>
      <c r="K80" s="34"/>
      <c r="N80" s="115"/>
      <c r="O80" s="1"/>
    </row>
    <row r="81" spans="1:18" x14ac:dyDescent="0.25">
      <c r="A81" s="2"/>
      <c r="B81" s="5" t="s">
        <v>30</v>
      </c>
      <c r="C81" s="27">
        <f>D81/(B7+B9)</f>
        <v>5.0714285714285712E-2</v>
      </c>
      <c r="D81" s="192">
        <f>(D79+D80)*2</f>
        <v>142</v>
      </c>
      <c r="E81" s="25" t="s">
        <v>185</v>
      </c>
      <c r="F81" s="14">
        <v>65</v>
      </c>
      <c r="G81" s="39">
        <f t="shared" si="1"/>
        <v>9230</v>
      </c>
      <c r="H81" s="23"/>
      <c r="I81" s="9">
        <f>G81/(B7+B9)</f>
        <v>3.2964285714285713</v>
      </c>
      <c r="J81" s="5"/>
      <c r="K81" s="34"/>
      <c r="N81" s="119"/>
      <c r="O81" s="1"/>
    </row>
    <row r="82" spans="1:18" x14ac:dyDescent="0.25">
      <c r="A82" s="2"/>
      <c r="B82" s="5" t="s">
        <v>148</v>
      </c>
      <c r="C82" s="27">
        <f>D82/(B7+B9)</f>
        <v>1.6428571428571428E-2</v>
      </c>
      <c r="D82" s="192">
        <f>H9</f>
        <v>46</v>
      </c>
      <c r="E82" s="25" t="s">
        <v>31</v>
      </c>
      <c r="F82" s="14">
        <v>162</v>
      </c>
      <c r="G82" s="39">
        <f t="shared" si="1"/>
        <v>7452</v>
      </c>
      <c r="H82" s="23"/>
      <c r="I82" s="9">
        <f>G82/(B7+B9)</f>
        <v>2.6614285714285715</v>
      </c>
      <c r="J82" s="5"/>
      <c r="K82" s="34"/>
      <c r="N82" s="119"/>
      <c r="O82" s="1"/>
    </row>
    <row r="83" spans="1:18" x14ac:dyDescent="0.25">
      <c r="A83" s="2"/>
      <c r="B83" s="5" t="s">
        <v>62</v>
      </c>
      <c r="C83" s="27">
        <f>D83/(B7+B9)</f>
        <v>1.3392857142857142</v>
      </c>
      <c r="D83" s="190">
        <f>D78</f>
        <v>3750</v>
      </c>
      <c r="E83" s="25" t="s">
        <v>204</v>
      </c>
      <c r="F83" s="14">
        <v>0.45</v>
      </c>
      <c r="G83" s="39">
        <f t="shared" si="1"/>
        <v>1687.5</v>
      </c>
      <c r="H83" s="23"/>
      <c r="I83" s="9">
        <f>G83/(B7+B9)</f>
        <v>0.6026785714285714</v>
      </c>
      <c r="J83" s="5"/>
      <c r="K83" s="34"/>
      <c r="N83" s="119"/>
      <c r="O83" s="1"/>
    </row>
    <row r="84" spans="1:18" x14ac:dyDescent="0.25">
      <c r="A84" s="2"/>
      <c r="B84" s="162" t="s">
        <v>113</v>
      </c>
      <c r="C84" s="27">
        <f>D84/(B7+B9)</f>
        <v>0</v>
      </c>
      <c r="D84" s="189">
        <v>0</v>
      </c>
      <c r="E84" s="201"/>
      <c r="F84" s="14">
        <v>0</v>
      </c>
      <c r="G84" s="39">
        <f t="shared" si="1"/>
        <v>0</v>
      </c>
      <c r="H84" s="23"/>
      <c r="I84" s="9"/>
      <c r="J84" s="5"/>
      <c r="K84" s="34"/>
      <c r="N84" s="119"/>
      <c r="O84" s="1"/>
    </row>
    <row r="85" spans="1:18" x14ac:dyDescent="0.25">
      <c r="A85" s="2">
        <v>7</v>
      </c>
      <c r="B85" s="8" t="s">
        <v>138</v>
      </c>
      <c r="C85" s="8"/>
      <c r="D85" s="6"/>
      <c r="E85" s="26"/>
      <c r="F85" s="16"/>
      <c r="G85" s="6"/>
      <c r="H85" s="20">
        <f>G86+G91+G95+G87+G88+G89+G90+G92+G93+G94+G96</f>
        <v>48343</v>
      </c>
      <c r="I85" s="6"/>
      <c r="J85" s="20">
        <f>I86+I91+I95</f>
        <v>11.562500000000002</v>
      </c>
      <c r="K85" s="35">
        <f>H85/H137</f>
        <v>5.8126354352856409E-2</v>
      </c>
      <c r="N85" s="119"/>
      <c r="O85" s="1"/>
    </row>
    <row r="86" spans="1:18" ht="18.75" x14ac:dyDescent="0.25">
      <c r="A86" s="2"/>
      <c r="B86" s="5" t="s">
        <v>87</v>
      </c>
      <c r="C86" s="27">
        <f>D86/(B7+B9)</f>
        <v>1.3392857142857142</v>
      </c>
      <c r="D86" s="4">
        <f>B7+B9+B11</f>
        <v>3750</v>
      </c>
      <c r="E86" s="25" t="s">
        <v>203</v>
      </c>
      <c r="F86" s="14">
        <v>3.5</v>
      </c>
      <c r="G86" s="39">
        <f t="shared" si="1"/>
        <v>13125</v>
      </c>
      <c r="H86" s="11"/>
      <c r="I86" s="9">
        <f>G86/B7</f>
        <v>7.291666666666667</v>
      </c>
      <c r="J86" s="5"/>
      <c r="K86" s="34"/>
      <c r="N86" s="113"/>
      <c r="O86" s="1"/>
    </row>
    <row r="87" spans="1:18" ht="18.75" x14ac:dyDescent="0.25">
      <c r="A87" s="2"/>
      <c r="B87" s="5" t="s">
        <v>139</v>
      </c>
      <c r="C87" s="27">
        <f>D87/(B7+B9)</f>
        <v>3.5714285714285714E-4</v>
      </c>
      <c r="D87" s="4">
        <v>1</v>
      </c>
      <c r="E87" s="25" t="s">
        <v>58</v>
      </c>
      <c r="F87" s="14">
        <v>1200</v>
      </c>
      <c r="G87" s="39">
        <f t="shared" si="1"/>
        <v>1200</v>
      </c>
      <c r="H87" s="11"/>
      <c r="I87" s="9"/>
      <c r="J87" s="5"/>
      <c r="K87" s="34"/>
      <c r="N87" s="113"/>
      <c r="O87" s="1"/>
    </row>
    <row r="88" spans="1:18" ht="18.75" x14ac:dyDescent="0.25">
      <c r="A88" s="2"/>
      <c r="B88" s="5" t="s">
        <v>140</v>
      </c>
      <c r="C88" s="27">
        <f>D88/(B7+B9)</f>
        <v>1.1785714285714287E-2</v>
      </c>
      <c r="D88" s="4">
        <f>D9</f>
        <v>33</v>
      </c>
      <c r="E88" s="25" t="s">
        <v>31</v>
      </c>
      <c r="F88" s="14">
        <v>42</v>
      </c>
      <c r="G88" s="39">
        <f t="shared" si="1"/>
        <v>1386</v>
      </c>
      <c r="H88" s="11"/>
      <c r="I88" s="9"/>
      <c r="J88" s="5"/>
      <c r="K88" s="34"/>
      <c r="N88" s="113"/>
      <c r="O88" s="1"/>
    </row>
    <row r="89" spans="1:18" ht="18.75" x14ac:dyDescent="0.25">
      <c r="A89" s="2"/>
      <c r="B89" s="5" t="s">
        <v>141</v>
      </c>
      <c r="C89" s="27">
        <f>D89/(B7+B9)</f>
        <v>1.4285714285714286E-3</v>
      </c>
      <c r="D89" s="4">
        <f>F9+G9</f>
        <v>4</v>
      </c>
      <c r="E89" s="25" t="s">
        <v>146</v>
      </c>
      <c r="F89" s="14">
        <v>150</v>
      </c>
      <c r="G89" s="39">
        <f t="shared" si="1"/>
        <v>600</v>
      </c>
      <c r="H89" s="11"/>
      <c r="I89" s="9"/>
      <c r="J89" s="5"/>
      <c r="K89" s="34"/>
      <c r="N89" s="113"/>
      <c r="O89" s="1"/>
    </row>
    <row r="90" spans="1:18" ht="18.75" x14ac:dyDescent="0.25">
      <c r="A90" s="2"/>
      <c r="B90" s="5" t="s">
        <v>183</v>
      </c>
      <c r="C90" s="27">
        <f>D90/(B7+B9)</f>
        <v>0.10214285714285715</v>
      </c>
      <c r="D90" s="4">
        <f>(F9*70)+(C9*2)</f>
        <v>286</v>
      </c>
      <c r="E90" s="25" t="s">
        <v>184</v>
      </c>
      <c r="F90" s="14">
        <v>12</v>
      </c>
      <c r="G90" s="39">
        <f t="shared" si="1"/>
        <v>3432</v>
      </c>
      <c r="H90" s="11"/>
      <c r="I90" s="9"/>
      <c r="J90" s="5"/>
      <c r="K90" s="34"/>
      <c r="N90" s="113"/>
      <c r="O90" s="1"/>
    </row>
    <row r="91" spans="1:18" x14ac:dyDescent="0.25">
      <c r="A91" s="2"/>
      <c r="B91" s="5" t="s">
        <v>66</v>
      </c>
      <c r="C91" s="27">
        <f>D91/(B9+B9)</f>
        <v>1.875</v>
      </c>
      <c r="D91" s="4">
        <f>B7+B9+B11</f>
        <v>3750</v>
      </c>
      <c r="E91" s="25" t="s">
        <v>204</v>
      </c>
      <c r="F91" s="14">
        <v>0.75</v>
      </c>
      <c r="G91" s="39">
        <f t="shared" si="1"/>
        <v>2812.5</v>
      </c>
      <c r="H91" s="11"/>
      <c r="I91" s="9">
        <f>G91/B7</f>
        <v>1.5625</v>
      </c>
      <c r="J91" s="5"/>
      <c r="K91" s="34"/>
      <c r="N91" s="120"/>
      <c r="O91" s="109"/>
    </row>
    <row r="92" spans="1:18" x14ac:dyDescent="0.25">
      <c r="A92" s="2"/>
      <c r="B92" s="5" t="s">
        <v>65</v>
      </c>
      <c r="C92" s="27">
        <f>D92/(B7+B9)</f>
        <v>1.3392857142857142</v>
      </c>
      <c r="D92" s="4">
        <f>B7+B9+B11</f>
        <v>3750</v>
      </c>
      <c r="E92" s="25" t="s">
        <v>204</v>
      </c>
      <c r="F92" s="14">
        <v>4.5999999999999996</v>
      </c>
      <c r="G92" s="39">
        <f t="shared" si="1"/>
        <v>17250</v>
      </c>
      <c r="H92" s="11"/>
      <c r="I92" s="9">
        <f>G92/B7</f>
        <v>9.5833333333333339</v>
      </c>
      <c r="J92" s="5"/>
      <c r="K92" s="34"/>
      <c r="N92" s="119"/>
      <c r="O92" s="109"/>
      <c r="P92" s="56"/>
      <c r="Q92" s="56"/>
      <c r="R92" s="56"/>
    </row>
    <row r="93" spans="1:18" x14ac:dyDescent="0.25">
      <c r="A93" s="2"/>
      <c r="B93" s="163" t="s">
        <v>182</v>
      </c>
      <c r="C93" s="27">
        <f>D93/(B7+B9)</f>
        <v>3.5714285714285713E-3</v>
      </c>
      <c r="D93" s="189">
        <v>10</v>
      </c>
      <c r="E93" s="25" t="s">
        <v>31</v>
      </c>
      <c r="F93" s="14">
        <v>310</v>
      </c>
      <c r="G93" s="39">
        <f t="shared" si="1"/>
        <v>3100</v>
      </c>
      <c r="H93" s="11"/>
      <c r="I93" s="9"/>
      <c r="J93" s="5"/>
      <c r="K93" s="34"/>
      <c r="N93" s="119"/>
      <c r="O93" s="109"/>
      <c r="P93" s="56"/>
      <c r="Q93" s="56"/>
      <c r="R93" s="56"/>
    </row>
    <row r="94" spans="1:18" x14ac:dyDescent="0.25">
      <c r="A94" s="2"/>
      <c r="B94" s="5" t="s">
        <v>149</v>
      </c>
      <c r="C94" s="27">
        <f>D94/(B7+B9)</f>
        <v>1.3392857142857142</v>
      </c>
      <c r="D94" s="4">
        <f>B11+B9+B7</f>
        <v>3750</v>
      </c>
      <c r="E94" s="25" t="str">
        <f>E91</f>
        <v>sq ft all floors</v>
      </c>
      <c r="F94" s="14">
        <v>0.15</v>
      </c>
      <c r="G94" s="39">
        <f t="shared" si="1"/>
        <v>562.5</v>
      </c>
      <c r="H94" s="11"/>
      <c r="I94" s="9"/>
      <c r="J94" s="5"/>
      <c r="K94" s="34"/>
      <c r="N94" s="119"/>
      <c r="O94" s="109"/>
      <c r="P94" s="56"/>
      <c r="Q94" s="56"/>
      <c r="R94" s="56"/>
    </row>
    <row r="95" spans="1:18" x14ac:dyDescent="0.25">
      <c r="A95" s="2"/>
      <c r="B95" s="5" t="s">
        <v>79</v>
      </c>
      <c r="C95" s="27">
        <f>D95/(B7+B9)</f>
        <v>1.3392857142857142</v>
      </c>
      <c r="D95" s="4">
        <f>B7+B9+B11</f>
        <v>3750</v>
      </c>
      <c r="E95" s="25" t="str">
        <f>E92</f>
        <v>sq ft all floors</v>
      </c>
      <c r="F95" s="14">
        <v>1.3</v>
      </c>
      <c r="G95" s="11">
        <f t="shared" si="1"/>
        <v>4875</v>
      </c>
      <c r="H95" s="5"/>
      <c r="I95" s="9">
        <f>G95/B7</f>
        <v>2.7083333333333335</v>
      </c>
      <c r="J95" s="5"/>
      <c r="K95" s="34"/>
      <c r="N95" s="120"/>
      <c r="O95" s="109"/>
      <c r="P95" s="56"/>
      <c r="Q95" s="56"/>
      <c r="R95" s="56"/>
    </row>
    <row r="96" spans="1:18" x14ac:dyDescent="0.25">
      <c r="A96" s="2"/>
      <c r="B96" s="162" t="s">
        <v>113</v>
      </c>
      <c r="C96" s="27">
        <f>D96/(B7+B9)</f>
        <v>0</v>
      </c>
      <c r="D96" s="189">
        <v>0</v>
      </c>
      <c r="E96" s="201"/>
      <c r="F96" s="14">
        <v>0</v>
      </c>
      <c r="G96" s="11">
        <f t="shared" si="1"/>
        <v>0</v>
      </c>
      <c r="H96" s="5"/>
      <c r="I96" s="9"/>
      <c r="J96" s="5"/>
      <c r="K96" s="34"/>
      <c r="N96" s="120"/>
      <c r="O96" s="109"/>
      <c r="P96" s="56"/>
      <c r="Q96" s="56"/>
      <c r="R96" s="56"/>
    </row>
    <row r="97" spans="1:18" ht="18.75" x14ac:dyDescent="0.25">
      <c r="A97" s="2">
        <v>8</v>
      </c>
      <c r="B97" s="8" t="s">
        <v>13</v>
      </c>
      <c r="C97" s="8"/>
      <c r="D97" s="8"/>
      <c r="E97" s="8"/>
      <c r="F97" s="17"/>
      <c r="G97" s="8"/>
      <c r="H97" s="21">
        <f>G98+G99+G100+G101+G102+G103+G104</f>
        <v>950</v>
      </c>
      <c r="I97" s="8"/>
      <c r="J97" s="21">
        <f>I98+I99+I100+I101+I102+I103+I104</f>
        <v>0.52777777777777779</v>
      </c>
      <c r="K97" s="35">
        <f>H97/H137</f>
        <v>1.1422550655775104E-3</v>
      </c>
      <c r="N97" s="113"/>
      <c r="O97" s="54"/>
      <c r="P97" s="56"/>
      <c r="Q97" s="56"/>
      <c r="R97" s="56"/>
    </row>
    <row r="98" spans="1:18" ht="18.75" x14ac:dyDescent="0.25">
      <c r="A98" s="2"/>
      <c r="B98" s="5" t="s">
        <v>82</v>
      </c>
      <c r="C98" s="27">
        <f>D98/(B7+B9)</f>
        <v>3.5714285714285714E-4</v>
      </c>
      <c r="D98" s="162">
        <v>1</v>
      </c>
      <c r="E98" s="25" t="s">
        <v>58</v>
      </c>
      <c r="F98" s="14">
        <v>950</v>
      </c>
      <c r="G98" s="39">
        <f>F98*D98</f>
        <v>950</v>
      </c>
      <c r="H98" s="5"/>
      <c r="I98" s="9">
        <f>G98/B7</f>
        <v>0.52777777777777779</v>
      </c>
      <c r="J98" s="5"/>
      <c r="K98" s="34"/>
      <c r="N98" s="113"/>
      <c r="O98" s="54"/>
      <c r="P98" s="56"/>
      <c r="Q98" s="56"/>
      <c r="R98" s="56"/>
    </row>
    <row r="99" spans="1:18" x14ac:dyDescent="0.25">
      <c r="A99" s="2"/>
      <c r="B99" s="5" t="s">
        <v>83</v>
      </c>
      <c r="C99" s="27">
        <f>D99/(B7+B9)</f>
        <v>0</v>
      </c>
      <c r="D99" s="189">
        <v>0</v>
      </c>
      <c r="E99" s="25" t="s">
        <v>34</v>
      </c>
      <c r="F99" s="14">
        <v>3.19</v>
      </c>
      <c r="G99" s="39">
        <f t="shared" ref="G99:G104" si="4">F99*D99</f>
        <v>0</v>
      </c>
      <c r="H99" s="5"/>
      <c r="I99" s="9">
        <f>G99/B7</f>
        <v>0</v>
      </c>
      <c r="J99" s="5"/>
      <c r="K99" s="34"/>
      <c r="N99" s="118"/>
      <c r="O99" s="1"/>
    </row>
    <row r="100" spans="1:18" ht="26.25" x14ac:dyDescent="0.25">
      <c r="A100" s="2"/>
      <c r="B100" s="5" t="s">
        <v>14</v>
      </c>
      <c r="C100" s="27">
        <f>D100/(B7+B9)</f>
        <v>0</v>
      </c>
      <c r="D100" s="189">
        <v>0</v>
      </c>
      <c r="E100" s="25" t="s">
        <v>34</v>
      </c>
      <c r="F100" s="14">
        <v>1.53</v>
      </c>
      <c r="G100" s="39">
        <f t="shared" si="4"/>
        <v>0</v>
      </c>
      <c r="H100" s="5"/>
      <c r="I100" s="9">
        <f>G100/B7</f>
        <v>0</v>
      </c>
      <c r="J100" s="5"/>
      <c r="K100" s="34"/>
      <c r="N100" s="114"/>
      <c r="O100" s="1"/>
    </row>
    <row r="101" spans="1:18" x14ac:dyDescent="0.25">
      <c r="A101" s="2"/>
      <c r="B101" s="5" t="s">
        <v>15</v>
      </c>
      <c r="C101" s="27">
        <f>D101/(B7+B9)</f>
        <v>0</v>
      </c>
      <c r="D101" s="189">
        <v>0</v>
      </c>
      <c r="E101" s="25" t="s">
        <v>34</v>
      </c>
      <c r="F101" s="14">
        <v>2.52</v>
      </c>
      <c r="G101" s="39">
        <f t="shared" si="4"/>
        <v>0</v>
      </c>
      <c r="H101" s="5"/>
      <c r="I101" s="9">
        <f>G101/B7</f>
        <v>0</v>
      </c>
      <c r="J101" s="5"/>
      <c r="K101" s="34"/>
      <c r="N101" s="115"/>
      <c r="O101" s="1"/>
    </row>
    <row r="102" spans="1:18" ht="18.75" x14ac:dyDescent="0.25">
      <c r="A102" s="2"/>
      <c r="B102" s="5" t="s">
        <v>84</v>
      </c>
      <c r="C102" s="27">
        <f>D102/(B7+B9)</f>
        <v>0</v>
      </c>
      <c r="D102" s="162">
        <v>0</v>
      </c>
      <c r="E102" s="25" t="s">
        <v>34</v>
      </c>
      <c r="F102" s="164">
        <v>0</v>
      </c>
      <c r="G102" s="39">
        <f t="shared" si="4"/>
        <v>0</v>
      </c>
      <c r="H102" s="5"/>
      <c r="I102" s="9">
        <f>G102/B7</f>
        <v>0</v>
      </c>
      <c r="J102" s="5"/>
      <c r="K102" s="34"/>
      <c r="N102" s="113"/>
      <c r="O102" s="1"/>
    </row>
    <row r="103" spans="1:18" ht="18.75" x14ac:dyDescent="0.25">
      <c r="A103" s="2"/>
      <c r="B103" s="5" t="s">
        <v>85</v>
      </c>
      <c r="C103" s="27">
        <f>D103/(B7+B9)</f>
        <v>0</v>
      </c>
      <c r="D103" s="162">
        <v>0</v>
      </c>
      <c r="E103" s="25" t="s">
        <v>19</v>
      </c>
      <c r="F103" s="164">
        <v>0</v>
      </c>
      <c r="G103" s="39">
        <f t="shared" si="4"/>
        <v>0</v>
      </c>
      <c r="H103" s="5"/>
      <c r="I103" s="9">
        <f>G103/B7</f>
        <v>0</v>
      </c>
      <c r="J103" s="5"/>
      <c r="K103" s="34"/>
      <c r="N103" s="257"/>
      <c r="O103" s="1"/>
    </row>
    <row r="104" spans="1:18" x14ac:dyDescent="0.25">
      <c r="A104" s="2"/>
      <c r="B104" s="5" t="s">
        <v>25</v>
      </c>
      <c r="C104" s="27">
        <f>D104/(B7+B9)</f>
        <v>0</v>
      </c>
      <c r="D104" s="162">
        <v>0</v>
      </c>
      <c r="E104" s="25" t="s">
        <v>19</v>
      </c>
      <c r="F104" s="164">
        <v>0</v>
      </c>
      <c r="G104" s="39">
        <f t="shared" si="4"/>
        <v>0</v>
      </c>
      <c r="H104" s="5"/>
      <c r="I104" s="9">
        <f>G104/B7</f>
        <v>0</v>
      </c>
      <c r="J104" s="5"/>
      <c r="K104" s="34"/>
      <c r="N104" s="258"/>
      <c r="O104" s="1"/>
    </row>
    <row r="105" spans="1:18" x14ac:dyDescent="0.25">
      <c r="A105" s="2">
        <v>9</v>
      </c>
      <c r="B105" s="8" t="s">
        <v>37</v>
      </c>
      <c r="C105" s="8"/>
      <c r="D105" s="8"/>
      <c r="E105" s="8"/>
      <c r="F105" s="17"/>
      <c r="G105" s="8"/>
      <c r="H105" s="21">
        <f>G106+G112+G113+G114+G111+G110+G109+G108+G115</f>
        <v>45627.5</v>
      </c>
      <c r="I105" s="8"/>
      <c r="J105" s="21">
        <f>I106+I112+I113+I114</f>
        <v>9.0400000000000009</v>
      </c>
      <c r="K105" s="35">
        <f>H105/H137</f>
        <v>5.4861308425934591E-2</v>
      </c>
      <c r="N105" s="214"/>
      <c r="O105" s="1"/>
    </row>
    <row r="106" spans="1:18" x14ac:dyDescent="0.25">
      <c r="A106" s="2"/>
      <c r="B106" s="5" t="s">
        <v>26</v>
      </c>
      <c r="C106" s="27">
        <f>D106/(B7+B9)</f>
        <v>0.6428571428571429</v>
      </c>
      <c r="D106" s="4">
        <f>B7</f>
        <v>1800</v>
      </c>
      <c r="E106" s="25" t="s">
        <v>187</v>
      </c>
      <c r="F106" s="14">
        <v>2.89</v>
      </c>
      <c r="G106" s="39">
        <f>D106*F106</f>
        <v>5202</v>
      </c>
      <c r="H106" s="5"/>
      <c r="I106" s="9">
        <f>G106/B7</f>
        <v>2.89</v>
      </c>
      <c r="J106" s="5"/>
      <c r="K106" s="34"/>
      <c r="N106" s="259"/>
      <c r="O106" s="1"/>
    </row>
    <row r="107" spans="1:18" x14ac:dyDescent="0.25">
      <c r="A107" s="2"/>
      <c r="B107" s="5" t="s">
        <v>68</v>
      </c>
      <c r="C107" s="27">
        <f>D107/(B7+B9)</f>
        <v>0.6428571428571429</v>
      </c>
      <c r="D107" s="4">
        <f>D106</f>
        <v>1800</v>
      </c>
      <c r="E107" s="25" t="s">
        <v>187</v>
      </c>
      <c r="F107" s="14">
        <v>1.87</v>
      </c>
      <c r="G107" s="39">
        <f t="shared" ref="G107:G108" si="5">D107*F107</f>
        <v>3366</v>
      </c>
      <c r="H107" s="5"/>
      <c r="I107" s="9">
        <f>G107/B7</f>
        <v>1.87</v>
      </c>
      <c r="J107" s="5"/>
      <c r="K107" s="34"/>
      <c r="N107" s="259"/>
      <c r="O107" s="1"/>
    </row>
    <row r="108" spans="1:18" x14ac:dyDescent="0.25">
      <c r="A108" s="2"/>
      <c r="B108" s="5" t="s">
        <v>69</v>
      </c>
      <c r="C108" s="27">
        <f>D108/(B7+B9)</f>
        <v>1.3392857142857142</v>
      </c>
      <c r="D108" s="4">
        <f>B7+B9+B11</f>
        <v>3750</v>
      </c>
      <c r="E108" s="25" t="s">
        <v>204</v>
      </c>
      <c r="F108" s="14">
        <v>1.1499999999999999</v>
      </c>
      <c r="G108" s="39">
        <f t="shared" si="5"/>
        <v>4312.5</v>
      </c>
      <c r="H108" s="5"/>
      <c r="I108" s="9">
        <f>G108/B7</f>
        <v>2.3958333333333335</v>
      </c>
      <c r="J108" s="5"/>
      <c r="K108" s="34"/>
      <c r="N108" s="259"/>
      <c r="O108" s="1"/>
    </row>
    <row r="109" spans="1:18" x14ac:dyDescent="0.25">
      <c r="A109" s="2"/>
      <c r="B109" s="5" t="s">
        <v>77</v>
      </c>
      <c r="C109" s="27">
        <f>D109/(B7+B9)</f>
        <v>0.3392857142857143</v>
      </c>
      <c r="D109" s="4">
        <f>B11</f>
        <v>950</v>
      </c>
      <c r="E109" s="25" t="s">
        <v>205</v>
      </c>
      <c r="F109" s="14">
        <v>18.5</v>
      </c>
      <c r="G109" s="39">
        <f t="shared" ref="G109" si="6">D109*F109</f>
        <v>17575</v>
      </c>
      <c r="H109" s="5"/>
      <c r="I109" s="9">
        <f>G109/B7</f>
        <v>9.7638888888888893</v>
      </c>
      <c r="J109" s="5"/>
      <c r="K109" s="34"/>
      <c r="N109" s="259"/>
      <c r="O109" s="1"/>
    </row>
    <row r="110" spans="1:18" x14ac:dyDescent="0.25">
      <c r="A110" s="2"/>
      <c r="B110" s="5" t="s">
        <v>133</v>
      </c>
      <c r="C110" s="27">
        <f>D110/(B7+B9)</f>
        <v>7.1428571428571429E-4</v>
      </c>
      <c r="D110" s="4">
        <f>K9</f>
        <v>2</v>
      </c>
      <c r="E110" s="25" t="s">
        <v>34</v>
      </c>
      <c r="F110" s="14">
        <v>4500</v>
      </c>
      <c r="G110" s="39">
        <f>D110*F110</f>
        <v>9000</v>
      </c>
      <c r="H110" s="5"/>
      <c r="I110" s="9">
        <f>G110/B7</f>
        <v>5</v>
      </c>
      <c r="J110" s="5"/>
      <c r="K110" s="34"/>
      <c r="N110" s="259"/>
      <c r="O110" s="1"/>
    </row>
    <row r="111" spans="1:18" x14ac:dyDescent="0.25">
      <c r="A111" s="2"/>
      <c r="B111" s="5" t="s">
        <v>134</v>
      </c>
      <c r="C111" s="27">
        <f>D111/(B7+B9)</f>
        <v>7.1428571428571429E-4</v>
      </c>
      <c r="D111" s="4">
        <f>D110</f>
        <v>2</v>
      </c>
      <c r="E111" s="25" t="s">
        <v>34</v>
      </c>
      <c r="F111" s="14">
        <v>2500</v>
      </c>
      <c r="G111" s="39">
        <f>F111</f>
        <v>2500</v>
      </c>
      <c r="H111" s="5"/>
      <c r="I111" s="9">
        <f>G111/B7</f>
        <v>1.3888888888888888</v>
      </c>
      <c r="J111" s="5"/>
      <c r="K111" s="34"/>
      <c r="N111" s="260"/>
      <c r="O111" s="1"/>
    </row>
    <row r="112" spans="1:18" x14ac:dyDescent="0.25">
      <c r="A112" s="2"/>
      <c r="B112" s="5" t="s">
        <v>16</v>
      </c>
      <c r="C112" s="27">
        <f>D112/(B7+B9)</f>
        <v>0.6428571428571429</v>
      </c>
      <c r="D112" s="4">
        <f>B7</f>
        <v>1800</v>
      </c>
      <c r="E112" s="25" t="str">
        <f>E106</f>
        <v>sq. ft. main fl</v>
      </c>
      <c r="F112" s="14">
        <v>1.25</v>
      </c>
      <c r="G112" s="39">
        <f>D112*F112</f>
        <v>2250</v>
      </c>
      <c r="H112" s="5"/>
      <c r="I112" s="9">
        <f>G112/B7</f>
        <v>1.25</v>
      </c>
      <c r="J112" s="5"/>
      <c r="K112" s="34"/>
      <c r="N112" s="115"/>
      <c r="O112" s="1"/>
    </row>
    <row r="113" spans="1:15" x14ac:dyDescent="0.25">
      <c r="A113" s="2"/>
      <c r="B113" s="5" t="s">
        <v>80</v>
      </c>
      <c r="C113" s="27">
        <f>D113/(B7+B9)</f>
        <v>0.6428571428571429</v>
      </c>
      <c r="D113" s="4">
        <f>B7</f>
        <v>1800</v>
      </c>
      <c r="E113" s="25" t="str">
        <f t="shared" ref="E113:E114" si="7">E107</f>
        <v>sq. ft. main fl</v>
      </c>
      <c r="F113" s="14">
        <v>2.4500000000000002</v>
      </c>
      <c r="G113" s="11">
        <f>D113*F113</f>
        <v>4410</v>
      </c>
      <c r="H113" s="5"/>
      <c r="I113" s="9">
        <f>G113/B7</f>
        <v>2.4500000000000002</v>
      </c>
      <c r="J113" s="5"/>
      <c r="K113" s="34"/>
      <c r="N113" s="118"/>
      <c r="O113" s="1"/>
    </row>
    <row r="114" spans="1:15" x14ac:dyDescent="0.25">
      <c r="A114" s="2"/>
      <c r="B114" s="5" t="s">
        <v>17</v>
      </c>
      <c r="C114" s="27">
        <f>D114/(B7+B9)</f>
        <v>0.6428571428571429</v>
      </c>
      <c r="D114" s="4">
        <f>B7</f>
        <v>1800</v>
      </c>
      <c r="E114" s="25" t="str">
        <f t="shared" si="7"/>
        <v>sq ft all floors</v>
      </c>
      <c r="F114" s="14">
        <v>0.21</v>
      </c>
      <c r="G114" s="11">
        <f>D114*F114</f>
        <v>378</v>
      </c>
      <c r="H114" s="5"/>
      <c r="I114" s="9">
        <f>G113/B7</f>
        <v>2.4500000000000002</v>
      </c>
      <c r="J114" s="5"/>
      <c r="K114" s="34"/>
      <c r="N114" s="115"/>
      <c r="O114" s="1"/>
    </row>
    <row r="115" spans="1:15" x14ac:dyDescent="0.25">
      <c r="A115" s="2"/>
      <c r="B115" s="162" t="s">
        <v>113</v>
      </c>
      <c r="C115" s="27">
        <f>D115/(B7+B9)</f>
        <v>0</v>
      </c>
      <c r="D115" s="189">
        <v>0</v>
      </c>
      <c r="E115" s="201"/>
      <c r="F115" s="14">
        <v>0</v>
      </c>
      <c r="G115" s="11">
        <f>D115*F115</f>
        <v>0</v>
      </c>
      <c r="H115" s="5"/>
      <c r="I115" s="9">
        <f>G115/B7</f>
        <v>0</v>
      </c>
      <c r="J115" s="5"/>
      <c r="K115" s="34"/>
      <c r="N115" s="115"/>
      <c r="O115" s="1"/>
    </row>
    <row r="116" spans="1:15" x14ac:dyDescent="0.25">
      <c r="A116" s="2">
        <v>10</v>
      </c>
      <c r="B116" s="8" t="s">
        <v>18</v>
      </c>
      <c r="C116" s="8"/>
      <c r="D116" s="8"/>
      <c r="E116" s="8"/>
      <c r="F116" s="17"/>
      <c r="G116" s="8"/>
      <c r="H116" s="21">
        <f>G117+G118+G119+G120+G121</f>
        <v>36621.5</v>
      </c>
      <c r="I116" s="8"/>
      <c r="J116" s="21">
        <f>I117+I119+I120</f>
        <v>8.5119444444444436</v>
      </c>
      <c r="K116" s="35">
        <f>H116/H137</f>
        <v>4.4032730404259791E-2</v>
      </c>
      <c r="N116" s="115"/>
      <c r="O116" s="1"/>
    </row>
    <row r="117" spans="1:15" x14ac:dyDescent="0.25">
      <c r="A117" s="2"/>
      <c r="B117" s="5" t="s">
        <v>176</v>
      </c>
      <c r="C117" s="27">
        <f>D117/(B7+B9)</f>
        <v>3.5714285714285714E-4</v>
      </c>
      <c r="D117" s="4">
        <v>1</v>
      </c>
      <c r="E117" s="25" t="s">
        <v>34</v>
      </c>
      <c r="F117" s="14">
        <v>1460</v>
      </c>
      <c r="G117" s="11">
        <f>D117*F117</f>
        <v>1460</v>
      </c>
      <c r="H117" s="5"/>
      <c r="I117" s="9">
        <f>G117/B7</f>
        <v>0.81111111111111112</v>
      </c>
      <c r="J117" s="5"/>
      <c r="K117" s="34"/>
      <c r="N117" s="115"/>
      <c r="O117" s="1"/>
    </row>
    <row r="118" spans="1:15" x14ac:dyDescent="0.25">
      <c r="A118" s="2"/>
      <c r="B118" s="5" t="s">
        <v>145</v>
      </c>
      <c r="C118" s="27">
        <f>D118/(B7+B9)</f>
        <v>1.3392857142857142</v>
      </c>
      <c r="D118" s="4">
        <f>B7+B9+B11</f>
        <v>3750</v>
      </c>
      <c r="E118" s="25" t="str">
        <f>E108</f>
        <v>sq ft all floors</v>
      </c>
      <c r="F118" s="14">
        <v>5.68</v>
      </c>
      <c r="G118" s="11">
        <f>D118*F118</f>
        <v>21300</v>
      </c>
      <c r="H118" s="5"/>
      <c r="I118" s="9">
        <f>G118/B7</f>
        <v>11.833333333333334</v>
      </c>
      <c r="J118" s="5"/>
      <c r="K118" s="34"/>
      <c r="N118" s="118"/>
      <c r="O118" s="1"/>
    </row>
    <row r="119" spans="1:15" x14ac:dyDescent="0.25">
      <c r="A119" s="2"/>
      <c r="B119" s="5" t="s">
        <v>64</v>
      </c>
      <c r="C119" s="27">
        <f>D119/(B7+B9)</f>
        <v>1.3392857142857142</v>
      </c>
      <c r="D119" s="4">
        <f>D118</f>
        <v>3750</v>
      </c>
      <c r="E119" s="25" t="str">
        <f>E109</f>
        <v>sq ft basment</v>
      </c>
      <c r="F119" s="14">
        <v>3.25</v>
      </c>
      <c r="G119" s="11">
        <f>D119*F119</f>
        <v>12187.5</v>
      </c>
      <c r="H119" s="5"/>
      <c r="I119" s="9">
        <f>G119/B7</f>
        <v>6.770833333333333</v>
      </c>
      <c r="J119" s="5"/>
      <c r="K119" s="34"/>
      <c r="N119" s="115"/>
      <c r="O119" s="1"/>
    </row>
    <row r="120" spans="1:15" x14ac:dyDescent="0.25">
      <c r="A120" s="2"/>
      <c r="B120" s="5" t="s">
        <v>27</v>
      </c>
      <c r="C120" s="27">
        <f>D120/(B7+B9)</f>
        <v>0.6428571428571429</v>
      </c>
      <c r="D120" s="4">
        <f>B7</f>
        <v>1800</v>
      </c>
      <c r="E120" s="25" t="s">
        <v>187</v>
      </c>
      <c r="F120" s="14">
        <v>0.93</v>
      </c>
      <c r="G120" s="11">
        <f>D120*F120</f>
        <v>1674</v>
      </c>
      <c r="H120" s="5"/>
      <c r="I120" s="9">
        <f>G120/B7</f>
        <v>0.93</v>
      </c>
      <c r="J120" s="5"/>
      <c r="K120" s="34"/>
      <c r="N120" s="115"/>
      <c r="O120" s="1"/>
    </row>
    <row r="121" spans="1:15" ht="15.75" thickBot="1" x14ac:dyDescent="0.3">
      <c r="A121" s="2"/>
      <c r="B121" s="162" t="s">
        <v>208</v>
      </c>
      <c r="C121" s="27">
        <f>D121/(B7+B9)</f>
        <v>0</v>
      </c>
      <c r="D121" s="189"/>
      <c r="E121" s="201"/>
      <c r="F121" s="14">
        <v>0</v>
      </c>
      <c r="G121" s="11">
        <f>D121*F121</f>
        <v>0</v>
      </c>
      <c r="H121" s="5"/>
      <c r="I121" s="9">
        <f>G121/B7</f>
        <v>0</v>
      </c>
      <c r="J121" s="5"/>
      <c r="K121" s="34"/>
      <c r="N121" s="115"/>
      <c r="O121" s="1"/>
    </row>
    <row r="122" spans="1:15" x14ac:dyDescent="0.25">
      <c r="A122" s="2">
        <v>11</v>
      </c>
      <c r="B122" s="28" t="s">
        <v>32</v>
      </c>
      <c r="C122" s="28"/>
      <c r="D122" s="28"/>
      <c r="E122" s="28"/>
      <c r="F122" s="28"/>
      <c r="G122" s="28"/>
      <c r="H122" s="134">
        <f>G123+G124+G128</f>
        <v>19464.285714285717</v>
      </c>
      <c r="I122" s="28"/>
      <c r="J122" s="134">
        <f>I128+I124+I123</f>
        <v>10.813492063492063</v>
      </c>
      <c r="K122" s="43">
        <f>H122/H137</f>
        <v>2.3403346268411403E-2</v>
      </c>
      <c r="N122" s="115"/>
      <c r="O122" s="1"/>
    </row>
    <row r="123" spans="1:15" x14ac:dyDescent="0.25">
      <c r="A123" s="2"/>
      <c r="B123" s="5" t="s">
        <v>33</v>
      </c>
      <c r="C123" s="27">
        <f>D123/(B7+B9)</f>
        <v>1.25</v>
      </c>
      <c r="D123" s="189">
        <v>3500</v>
      </c>
      <c r="E123" s="25" t="s">
        <v>34</v>
      </c>
      <c r="F123" s="14"/>
      <c r="G123" s="39">
        <f>C123*D123</f>
        <v>4375</v>
      </c>
      <c r="H123" s="5"/>
      <c r="I123" s="9">
        <f>G123/B7</f>
        <v>2.4305555555555554</v>
      </c>
      <c r="J123" s="5"/>
      <c r="K123" s="34"/>
      <c r="L123" s="36"/>
      <c r="M123" s="37"/>
      <c r="N123" s="115"/>
      <c r="O123" s="1"/>
    </row>
    <row r="124" spans="1:15" x14ac:dyDescent="0.25">
      <c r="A124" s="2"/>
      <c r="B124" s="5" t="s">
        <v>38</v>
      </c>
      <c r="C124" s="27">
        <f>D124/(B7+B9)</f>
        <v>2.3214285714285716</v>
      </c>
      <c r="D124" s="189">
        <v>6500</v>
      </c>
      <c r="E124" s="25" t="s">
        <v>34</v>
      </c>
      <c r="F124" s="14"/>
      <c r="G124" s="39">
        <f>C124*D124</f>
        <v>15089.285714285716</v>
      </c>
      <c r="H124" s="5"/>
      <c r="I124" s="9">
        <f>G124/B7</f>
        <v>8.3829365079365079</v>
      </c>
      <c r="J124" s="5"/>
      <c r="K124" s="34"/>
      <c r="N124" s="116"/>
      <c r="O124" s="1"/>
    </row>
    <row r="125" spans="1:15" ht="15.75" thickBot="1" x14ac:dyDescent="0.3">
      <c r="A125" s="2"/>
      <c r="B125" s="22" t="s">
        <v>39</v>
      </c>
      <c r="C125" s="139">
        <f>D125/(B7+B9)</f>
        <v>3.5714285714285716</v>
      </c>
      <c r="D125" s="193">
        <v>10000</v>
      </c>
      <c r="E125" s="140" t="s">
        <v>34</v>
      </c>
      <c r="F125" s="141"/>
      <c r="G125" s="52">
        <f>C125*D125</f>
        <v>35714.285714285717</v>
      </c>
      <c r="H125" s="22"/>
      <c r="I125" s="10">
        <f>G125/B7</f>
        <v>19.841269841269842</v>
      </c>
      <c r="J125" s="22"/>
      <c r="K125" s="31"/>
      <c r="N125" s="116"/>
      <c r="O125" s="1"/>
    </row>
    <row r="126" spans="1:15" x14ac:dyDescent="0.25">
      <c r="A126" s="2"/>
      <c r="B126" s="37"/>
      <c r="C126" s="136"/>
      <c r="D126" s="137"/>
      <c r="E126" s="42"/>
      <c r="F126" s="132"/>
      <c r="G126" s="132"/>
      <c r="H126" s="37"/>
      <c r="I126" s="138"/>
      <c r="J126" s="37"/>
      <c r="K126" s="37"/>
      <c r="N126" s="116"/>
      <c r="O126" s="1"/>
    </row>
    <row r="127" spans="1:15" ht="21" x14ac:dyDescent="0.35">
      <c r="A127" s="2"/>
      <c r="B127" s="37"/>
      <c r="C127" s="136"/>
      <c r="D127" s="137"/>
      <c r="E127" s="142" t="s">
        <v>151</v>
      </c>
      <c r="F127" s="132"/>
      <c r="G127" s="132"/>
      <c r="H127" s="143">
        <f>H122+H116+H105+H97+H85+H70+H52+H35+H28+H21+H12</f>
        <v>691517.42444761901</v>
      </c>
      <c r="I127" s="138"/>
      <c r="J127" s="37"/>
      <c r="K127" s="37"/>
      <c r="N127" s="116"/>
      <c r="O127" s="1"/>
    </row>
    <row r="128" spans="1:15" ht="15.75" thickBot="1" x14ac:dyDescent="0.3">
      <c r="A128" s="2"/>
      <c r="B128" s="37"/>
      <c r="C128" s="136"/>
      <c r="D128" s="137"/>
      <c r="E128" s="42"/>
      <c r="F128" s="132"/>
      <c r="G128" s="132"/>
      <c r="H128" s="37"/>
      <c r="I128" s="138"/>
      <c r="J128" s="37"/>
      <c r="K128" s="37"/>
      <c r="N128" s="118"/>
      <c r="O128" s="1"/>
    </row>
    <row r="129" spans="1:16" ht="15.75" thickBot="1" x14ac:dyDescent="0.3">
      <c r="A129" s="2">
        <v>12</v>
      </c>
      <c r="B129" s="28" t="s">
        <v>20</v>
      </c>
      <c r="C129" s="28"/>
      <c r="D129" s="28"/>
      <c r="E129" s="28"/>
      <c r="F129" s="147"/>
      <c r="G129" s="28"/>
      <c r="H129" s="134">
        <f>D130+D131+D132+D133+D134+D135</f>
        <v>140170.72352280951</v>
      </c>
      <c r="I129" s="28"/>
      <c r="J129" s="134"/>
      <c r="K129" s="33">
        <f>H129/H137</f>
        <v>0.1685375989364146</v>
      </c>
      <c r="N129" s="116"/>
      <c r="O129" s="1"/>
    </row>
    <row r="130" spans="1:16" x14ac:dyDescent="0.25">
      <c r="A130" s="2"/>
      <c r="B130" s="5" t="s">
        <v>212</v>
      </c>
      <c r="C130" s="29">
        <v>0.02</v>
      </c>
      <c r="D130" s="71">
        <f>H127*C130</f>
        <v>13830.348488952381</v>
      </c>
      <c r="E130" s="72" t="s">
        <v>74</v>
      </c>
      <c r="F130" s="73"/>
      <c r="G130" s="9"/>
      <c r="H130" s="9"/>
      <c r="I130" s="9">
        <f>G130/B7</f>
        <v>0</v>
      </c>
      <c r="J130" s="5"/>
      <c r="K130" s="34"/>
      <c r="N130" s="116"/>
      <c r="O130" s="1"/>
    </row>
    <row r="131" spans="1:16" x14ac:dyDescent="0.25">
      <c r="B131" s="5" t="s">
        <v>75</v>
      </c>
      <c r="C131" s="29">
        <v>0.03</v>
      </c>
      <c r="D131" s="70">
        <f>H127*C131</f>
        <v>20745.52273342857</v>
      </c>
      <c r="E131" s="42"/>
      <c r="F131" s="34"/>
      <c r="G131" s="9"/>
      <c r="H131" s="5"/>
      <c r="I131" s="9">
        <f>G131/B7</f>
        <v>0</v>
      </c>
      <c r="J131" s="5"/>
      <c r="K131" s="34"/>
      <c r="N131" s="116"/>
      <c r="O131" s="1"/>
    </row>
    <row r="132" spans="1:16" x14ac:dyDescent="0.25">
      <c r="B132" s="5" t="s">
        <v>71</v>
      </c>
      <c r="C132" s="29"/>
      <c r="D132" s="70">
        <v>2240</v>
      </c>
      <c r="E132" s="42"/>
      <c r="F132" s="34"/>
      <c r="G132" s="9"/>
      <c r="H132" s="5"/>
      <c r="I132" s="9">
        <f>G132/B7</f>
        <v>0</v>
      </c>
      <c r="J132" s="5"/>
      <c r="K132" s="34"/>
      <c r="N132" s="116"/>
      <c r="O132" s="1"/>
    </row>
    <row r="133" spans="1:16" x14ac:dyDescent="0.25">
      <c r="B133" s="5" t="s">
        <v>72</v>
      </c>
      <c r="C133" s="29">
        <v>1.4999999999999999E-2</v>
      </c>
      <c r="D133" s="70">
        <f>H127*C133</f>
        <v>10372.761366714285</v>
      </c>
      <c r="E133" s="42"/>
      <c r="F133" s="34"/>
      <c r="G133" s="9"/>
      <c r="H133" s="5"/>
      <c r="I133" s="9">
        <f>G133/B7</f>
        <v>0</v>
      </c>
      <c r="J133" s="5"/>
      <c r="K133" s="34"/>
      <c r="N133" s="115"/>
    </row>
    <row r="134" spans="1:16" x14ac:dyDescent="0.25">
      <c r="B134" s="5" t="s">
        <v>73</v>
      </c>
      <c r="C134" s="29"/>
      <c r="D134" s="70">
        <v>10000</v>
      </c>
      <c r="E134" s="42"/>
      <c r="F134" s="34"/>
      <c r="G134" s="9"/>
      <c r="H134" s="5"/>
      <c r="I134" s="9">
        <f>G134/B7</f>
        <v>0</v>
      </c>
      <c r="J134" s="5"/>
      <c r="K134" s="34"/>
      <c r="N134" s="115"/>
    </row>
    <row r="135" spans="1:16" ht="15.75" thickBot="1" x14ac:dyDescent="0.3">
      <c r="B135" s="22" t="s">
        <v>70</v>
      </c>
      <c r="C135" s="30">
        <v>0.12</v>
      </c>
      <c r="D135" s="74">
        <f>H127*C135</f>
        <v>82982.09093371428</v>
      </c>
      <c r="E135" s="75" t="s">
        <v>74</v>
      </c>
      <c r="F135" s="76"/>
      <c r="G135" s="10"/>
      <c r="H135" s="22"/>
      <c r="I135" s="10">
        <f>G135/B7</f>
        <v>0</v>
      </c>
      <c r="J135" s="146" t="s">
        <v>63</v>
      </c>
      <c r="K135" s="31"/>
      <c r="N135" s="115"/>
    </row>
    <row r="136" spans="1:16" ht="24" thickBot="1" x14ac:dyDescent="0.4">
      <c r="B136" s="45" t="s">
        <v>256</v>
      </c>
      <c r="C136" s="46"/>
      <c r="D136" s="47"/>
      <c r="E136" s="47"/>
      <c r="F136" s="47"/>
      <c r="G136" s="48"/>
      <c r="H136" s="48"/>
      <c r="I136" s="46"/>
      <c r="J136" s="48">
        <f>H137/(B7+B9)</f>
        <v>297.03148141801017</v>
      </c>
      <c r="K136" s="49">
        <f>SUM(K12:K135)</f>
        <v>1.0000000000000002</v>
      </c>
      <c r="N136" s="116"/>
    </row>
    <row r="137" spans="1:16" ht="21" x14ac:dyDescent="0.35">
      <c r="E137" s="2"/>
      <c r="F137" s="56" t="s">
        <v>152</v>
      </c>
      <c r="H137" s="143">
        <f>H127+H129</f>
        <v>831688.14797042846</v>
      </c>
      <c r="J137" s="69" t="s">
        <v>239</v>
      </c>
      <c r="N137" s="148"/>
      <c r="P137" s="51"/>
    </row>
    <row r="138" spans="1:16" ht="18.75" x14ac:dyDescent="0.3">
      <c r="B138" s="78"/>
      <c r="C138" s="78"/>
      <c r="D138" s="78"/>
      <c r="E138" s="82"/>
      <c r="F138" s="144" t="s">
        <v>153</v>
      </c>
      <c r="G138" s="145">
        <v>0.05</v>
      </c>
      <c r="H138" s="122">
        <f>H137*G138</f>
        <v>41584.407398521427</v>
      </c>
      <c r="I138" s="78"/>
      <c r="J138" s="123"/>
      <c r="K138" s="78"/>
    </row>
    <row r="139" spans="1:16" ht="24" thickBot="1" x14ac:dyDescent="0.4">
      <c r="A139" s="78"/>
      <c r="B139" s="96"/>
      <c r="C139" s="96"/>
      <c r="D139" s="78"/>
      <c r="E139" s="82"/>
      <c r="F139" s="78" t="s">
        <v>154</v>
      </c>
      <c r="G139" s="121"/>
      <c r="H139" s="81">
        <f>H137+H138</f>
        <v>873272.55536894989</v>
      </c>
      <c r="I139" s="78"/>
      <c r="J139" s="78"/>
      <c r="K139" s="78"/>
      <c r="L139" s="78"/>
      <c r="M139" s="78"/>
      <c r="N139" s="81"/>
    </row>
    <row r="140" spans="1:16" ht="24" thickBot="1" x14ac:dyDescent="0.4">
      <c r="A140" s="78"/>
      <c r="B140" s="45" t="s">
        <v>165</v>
      </c>
      <c r="C140" s="82"/>
      <c r="D140" s="82"/>
      <c r="E140" s="175"/>
      <c r="F140" s="175" t="s">
        <v>167</v>
      </c>
      <c r="G140" s="175"/>
      <c r="H140" s="176">
        <f>C145</f>
        <v>5812.5</v>
      </c>
      <c r="I140" s="82"/>
      <c r="J140" s="82"/>
      <c r="K140" s="82"/>
      <c r="L140" s="78"/>
      <c r="M140" s="78"/>
      <c r="N140" s="78"/>
    </row>
    <row r="141" spans="1:16" ht="18.75" x14ac:dyDescent="0.3">
      <c r="A141" s="78"/>
      <c r="B141" s="100"/>
      <c r="C141" s="82"/>
      <c r="D141" s="185" t="s">
        <v>164</v>
      </c>
      <c r="E141" s="82"/>
      <c r="F141" s="82" t="s">
        <v>168</v>
      </c>
      <c r="G141" s="82"/>
      <c r="H141" s="188">
        <f>H139-H140</f>
        <v>867460.05536894989</v>
      </c>
      <c r="I141" s="82"/>
      <c r="J141" s="82"/>
      <c r="K141" s="82"/>
      <c r="L141" s="78"/>
      <c r="M141" s="78"/>
      <c r="N141" s="78"/>
    </row>
    <row r="142" spans="1:16" ht="15.75" x14ac:dyDescent="0.25">
      <c r="A142" s="78"/>
      <c r="B142" s="261" t="s">
        <v>255</v>
      </c>
      <c r="C142" s="169">
        <f>H137-C144-C146-C145-C143</f>
        <v>669361.64797042846</v>
      </c>
      <c r="D142" s="182">
        <f>C142/(B7+B9)</f>
        <v>239.05773141801015</v>
      </c>
      <c r="E142" s="82"/>
      <c r="F142" s="78"/>
      <c r="G142" s="78"/>
      <c r="H142" s="78"/>
      <c r="I142" s="78"/>
      <c r="J142" s="78"/>
      <c r="K142" s="78"/>
      <c r="L142" s="78"/>
      <c r="M142" s="78"/>
      <c r="N142" s="78"/>
    </row>
    <row r="143" spans="1:16" ht="15.75" x14ac:dyDescent="0.25">
      <c r="A143" s="78"/>
      <c r="B143" s="261" t="s">
        <v>179</v>
      </c>
      <c r="C143" s="169">
        <f>F7*587</f>
        <v>39329</v>
      </c>
      <c r="D143" s="183"/>
      <c r="E143" s="82"/>
      <c r="F143" s="78" t="s">
        <v>253</v>
      </c>
      <c r="G143" s="78"/>
      <c r="H143" s="78"/>
      <c r="I143" s="78"/>
      <c r="J143" s="78"/>
      <c r="K143" s="78"/>
      <c r="L143" s="78"/>
      <c r="M143" s="78"/>
      <c r="N143" s="78"/>
    </row>
    <row r="144" spans="1:16" ht="15.75" x14ac:dyDescent="0.25">
      <c r="A144" s="78"/>
      <c r="B144" s="262" t="s">
        <v>177</v>
      </c>
      <c r="C144" s="171">
        <f>B11*62.3</f>
        <v>59185</v>
      </c>
      <c r="D144" s="184">
        <f>C144/B11</f>
        <v>62.3</v>
      </c>
      <c r="E144" s="55"/>
      <c r="F144" s="110" t="s">
        <v>259</v>
      </c>
      <c r="G144" s="55"/>
      <c r="H144" s="101"/>
      <c r="I144" s="55"/>
      <c r="J144" s="101"/>
      <c r="K144" s="102"/>
      <c r="L144" s="78"/>
      <c r="M144" s="78"/>
      <c r="N144" s="78"/>
    </row>
    <row r="145" spans="1:14" ht="15.75" x14ac:dyDescent="0.25">
      <c r="A145" s="78"/>
      <c r="B145" s="262" t="s">
        <v>166</v>
      </c>
      <c r="C145" s="177">
        <f>G13</f>
        <v>5812.5</v>
      </c>
      <c r="D145" s="172"/>
      <c r="E145" s="55"/>
      <c r="F145" s="110" t="s">
        <v>257</v>
      </c>
      <c r="G145" s="55"/>
      <c r="H145" s="101"/>
      <c r="I145" s="55"/>
      <c r="J145" s="101"/>
      <c r="K145" s="102"/>
      <c r="L145" s="78"/>
      <c r="M145" s="78"/>
      <c r="N145" s="78"/>
    </row>
    <row r="146" spans="1:14" ht="16.5" thickBot="1" x14ac:dyDescent="0.3">
      <c r="A146" s="82"/>
      <c r="B146" s="262" t="s">
        <v>180</v>
      </c>
      <c r="C146" s="170">
        <f>H21</f>
        <v>58000</v>
      </c>
      <c r="D146" s="173"/>
      <c r="E146" s="82"/>
      <c r="F146" s="104" t="s">
        <v>252</v>
      </c>
      <c r="G146" s="104"/>
      <c r="H146" s="78"/>
      <c r="I146" s="81"/>
      <c r="J146" s="78"/>
      <c r="K146" s="80"/>
      <c r="L146" s="78"/>
      <c r="M146" s="78"/>
      <c r="N146" s="78"/>
    </row>
    <row r="147" spans="1:14" ht="16.5" thickBot="1" x14ac:dyDescent="0.3">
      <c r="A147" s="82"/>
      <c r="B147" s="78"/>
      <c r="C147" s="174">
        <f>SUM(C142:C146)</f>
        <v>831688.14797042846</v>
      </c>
      <c r="D147" s="173"/>
      <c r="E147" s="82"/>
      <c r="F147" s="104" t="s">
        <v>258</v>
      </c>
      <c r="G147" s="104"/>
      <c r="H147" s="78"/>
      <c r="I147" s="81"/>
      <c r="J147" s="78"/>
      <c r="K147" s="80"/>
      <c r="L147" s="78"/>
      <c r="M147" s="78"/>
      <c r="N147" s="78"/>
    </row>
    <row r="148" spans="1:14" x14ac:dyDescent="0.25">
      <c r="A148" s="82"/>
      <c r="B148" s="78"/>
      <c r="C148" s="103"/>
      <c r="D148" s="98"/>
      <c r="E148" s="82"/>
      <c r="F148" s="104" t="s">
        <v>254</v>
      </c>
      <c r="G148" s="104"/>
      <c r="H148" s="78"/>
      <c r="I148" s="81"/>
      <c r="J148" s="78"/>
      <c r="K148" s="80"/>
      <c r="L148" s="78"/>
      <c r="M148" s="78"/>
      <c r="N148" s="78"/>
    </row>
    <row r="149" spans="1:14" ht="18.75" x14ac:dyDescent="0.3">
      <c r="A149" s="82"/>
      <c r="B149" s="208" t="s">
        <v>207</v>
      </c>
      <c r="C149" s="103"/>
      <c r="D149" s="98"/>
      <c r="E149" s="82"/>
      <c r="F149" s="104"/>
      <c r="G149" s="104"/>
      <c r="H149" s="78"/>
      <c r="I149" s="81"/>
      <c r="J149" s="78"/>
      <c r="K149" s="80"/>
      <c r="L149" s="78"/>
      <c r="M149" s="78"/>
      <c r="N149" s="78"/>
    </row>
    <row r="150" spans="1:14" ht="18.75" x14ac:dyDescent="0.3">
      <c r="A150" s="82"/>
      <c r="B150" s="208"/>
      <c r="C150" s="103"/>
      <c r="D150" s="98"/>
      <c r="E150" s="82"/>
      <c r="F150" s="104"/>
      <c r="G150" s="104"/>
      <c r="H150" s="78"/>
      <c r="I150" s="81"/>
      <c r="J150" s="78"/>
      <c r="K150" s="80"/>
      <c r="L150" s="78"/>
      <c r="M150" s="78"/>
      <c r="N150" s="78"/>
    </row>
    <row r="151" spans="1:14" ht="15.75" x14ac:dyDescent="0.25">
      <c r="A151" s="82"/>
      <c r="B151" s="77" t="s">
        <v>219</v>
      </c>
      <c r="C151" s="103"/>
      <c r="D151" s="98"/>
      <c r="E151" s="82"/>
      <c r="F151" s="104"/>
      <c r="G151" s="104"/>
      <c r="H151" s="78"/>
      <c r="I151" s="81"/>
      <c r="J151" s="78"/>
      <c r="K151" s="80"/>
      <c r="L151" s="78"/>
      <c r="M151" s="78"/>
      <c r="N151" s="78"/>
    </row>
    <row r="152" spans="1:14" ht="18.75" x14ac:dyDescent="0.3">
      <c r="A152" s="82"/>
      <c r="B152" s="78" t="s">
        <v>215</v>
      </c>
      <c r="C152" s="103"/>
      <c r="D152" s="98"/>
      <c r="E152" s="82"/>
      <c r="F152" s="104"/>
      <c r="G152" s="104"/>
      <c r="H152" s="78"/>
      <c r="I152" s="81"/>
      <c r="J152" s="78"/>
      <c r="K152" s="80"/>
      <c r="L152" s="78"/>
      <c r="M152" s="78"/>
      <c r="N152" s="78"/>
    </row>
    <row r="153" spans="1:14" x14ac:dyDescent="0.25">
      <c r="A153" s="82"/>
      <c r="B153" s="78" t="s">
        <v>238</v>
      </c>
      <c r="C153" s="103"/>
      <c r="D153" s="98"/>
      <c r="E153" s="82"/>
      <c r="F153" s="104"/>
      <c r="G153" s="104"/>
      <c r="H153" s="78"/>
      <c r="I153" s="81"/>
      <c r="J153" s="78"/>
      <c r="K153" s="80"/>
      <c r="L153" s="78"/>
      <c r="M153" s="78"/>
      <c r="N153" s="78"/>
    </row>
    <row r="154" spans="1:14" x14ac:dyDescent="0.25">
      <c r="A154" s="82"/>
      <c r="B154" s="168" t="s">
        <v>214</v>
      </c>
      <c r="C154" s="105"/>
      <c r="D154" s="55"/>
      <c r="E154" s="55"/>
      <c r="F154" s="55"/>
      <c r="G154" s="55"/>
      <c r="H154" s="101"/>
      <c r="I154" s="81"/>
      <c r="J154" s="101"/>
      <c r="K154" s="102"/>
      <c r="L154" s="78"/>
      <c r="M154" s="78"/>
      <c r="N154" s="78"/>
    </row>
    <row r="155" spans="1:14" x14ac:dyDescent="0.25">
      <c r="A155" s="82"/>
      <c r="B155" s="78" t="s">
        <v>216</v>
      </c>
      <c r="C155" s="103"/>
      <c r="D155" s="98"/>
      <c r="E155" s="82"/>
      <c r="F155" s="99"/>
      <c r="G155" s="104"/>
      <c r="H155" s="78"/>
      <c r="I155" s="81"/>
      <c r="J155" s="78"/>
      <c r="K155" s="80"/>
      <c r="L155" s="78"/>
      <c r="M155" s="78"/>
      <c r="N155" s="78"/>
    </row>
    <row r="156" spans="1:14" x14ac:dyDescent="0.25">
      <c r="A156" s="82"/>
      <c r="B156" s="78" t="s">
        <v>217</v>
      </c>
      <c r="C156" s="103"/>
      <c r="D156" s="98"/>
      <c r="E156" s="82"/>
      <c r="F156" s="99"/>
      <c r="G156" s="104"/>
      <c r="H156" s="78"/>
      <c r="I156" s="81"/>
      <c r="J156" s="78"/>
      <c r="K156" s="80"/>
      <c r="L156" s="78"/>
      <c r="M156" s="78"/>
      <c r="N156" s="78"/>
    </row>
    <row r="157" spans="1:14" x14ac:dyDescent="0.25">
      <c r="A157" s="82"/>
      <c r="B157" s="78" t="s">
        <v>218</v>
      </c>
      <c r="C157" s="103"/>
      <c r="D157" s="98"/>
      <c r="E157" s="82"/>
      <c r="F157" s="99"/>
      <c r="G157" s="104"/>
      <c r="H157" s="78"/>
      <c r="I157" s="81"/>
      <c r="J157" s="78"/>
      <c r="K157" s="80"/>
      <c r="L157" s="78"/>
      <c r="M157" s="78"/>
      <c r="N157" s="78"/>
    </row>
    <row r="158" spans="1:14" x14ac:dyDescent="0.25">
      <c r="A158" s="82"/>
      <c r="B158" s="55"/>
      <c r="C158" s="55"/>
      <c r="D158" s="55"/>
      <c r="E158" s="55"/>
      <c r="F158" s="55"/>
      <c r="G158" s="55"/>
      <c r="H158" s="101"/>
      <c r="I158" s="55"/>
      <c r="J158" s="101"/>
      <c r="K158" s="102"/>
      <c r="L158" s="78"/>
      <c r="M158" s="78"/>
      <c r="N158" s="78"/>
    </row>
    <row r="159" spans="1:14" x14ac:dyDescent="0.25">
      <c r="A159" s="82"/>
      <c r="B159" s="93" t="s">
        <v>220</v>
      </c>
      <c r="C159" s="121"/>
      <c r="D159" s="94"/>
      <c r="E159" s="181"/>
      <c r="F159" s="93"/>
      <c r="G159" s="94"/>
      <c r="H159" s="93"/>
      <c r="I159" s="94"/>
      <c r="J159" s="93"/>
      <c r="K159" s="121"/>
      <c r="L159" s="78"/>
      <c r="M159" s="78"/>
      <c r="N159" s="78"/>
    </row>
    <row r="160" spans="1:14" x14ac:dyDescent="0.25">
      <c r="A160" s="82"/>
      <c r="B160" s="93" t="s">
        <v>221</v>
      </c>
      <c r="C160" s="121"/>
      <c r="D160" s="94"/>
      <c r="E160" s="181"/>
      <c r="F160" s="93"/>
      <c r="G160" s="94"/>
      <c r="H160" s="93"/>
      <c r="I160" s="94"/>
      <c r="J160" s="93"/>
      <c r="K160" s="121"/>
      <c r="L160" s="78"/>
      <c r="M160" s="78"/>
      <c r="N160" s="78"/>
    </row>
    <row r="161" spans="1:14" ht="23.25" x14ac:dyDescent="0.35">
      <c r="A161" s="106"/>
      <c r="B161" s="121" t="s">
        <v>222</v>
      </c>
      <c r="C161" s="96"/>
      <c r="D161" s="96"/>
      <c r="E161" s="96"/>
      <c r="F161" s="96"/>
      <c r="G161" s="96"/>
      <c r="H161" s="107"/>
      <c r="I161" s="96"/>
      <c r="J161" s="107"/>
      <c r="K161" s="97"/>
      <c r="L161" s="78"/>
      <c r="M161" s="78"/>
      <c r="N161" s="78"/>
    </row>
    <row r="162" spans="1:14" x14ac:dyDescent="0.25">
      <c r="A162" s="82"/>
      <c r="B162" s="78"/>
      <c r="C162" s="78"/>
      <c r="D162" s="78"/>
      <c r="E162" s="78"/>
      <c r="F162" s="78"/>
      <c r="G162" s="78"/>
      <c r="H162" s="78"/>
      <c r="I162" s="78"/>
      <c r="J162" s="78"/>
      <c r="K162" s="78"/>
      <c r="L162" s="78"/>
      <c r="M162" s="78"/>
      <c r="N162" s="78"/>
    </row>
    <row r="163" spans="1:14" x14ac:dyDescent="0.25">
      <c r="A163" s="82"/>
      <c r="B163" s="78"/>
      <c r="C163" s="78"/>
      <c r="D163" s="78"/>
      <c r="E163" s="78"/>
      <c r="F163" s="78"/>
      <c r="G163" s="78"/>
      <c r="H163" s="78"/>
      <c r="I163" s="78"/>
      <c r="J163" s="78"/>
      <c r="K163" s="78"/>
      <c r="L163" s="78"/>
      <c r="M163" s="78"/>
      <c r="N163" s="78"/>
    </row>
    <row r="164" spans="1:14" ht="23.25" x14ac:dyDescent="0.35">
      <c r="A164" s="82"/>
      <c r="B164" s="96"/>
      <c r="C164" s="96"/>
      <c r="D164" s="96"/>
      <c r="E164" s="96"/>
      <c r="F164" s="96"/>
      <c r="G164" s="96"/>
      <c r="H164" s="107"/>
      <c r="I164" s="96"/>
      <c r="J164" s="96"/>
      <c r="K164" s="96"/>
      <c r="L164" s="78"/>
      <c r="M164" s="78"/>
      <c r="N164" s="78"/>
    </row>
    <row r="165" spans="1:14" ht="23.25" x14ac:dyDescent="0.35">
      <c r="A165" s="82"/>
      <c r="B165" s="96"/>
      <c r="C165" s="96"/>
      <c r="D165" s="96"/>
      <c r="E165" s="97"/>
      <c r="F165" s="96"/>
      <c r="G165" s="96"/>
      <c r="H165" s="107"/>
      <c r="I165" s="96"/>
      <c r="J165" s="96"/>
      <c r="K165" s="96"/>
      <c r="L165" s="78"/>
      <c r="M165" s="78"/>
      <c r="N165" s="78"/>
    </row>
    <row r="166" spans="1:14" ht="23.25" x14ac:dyDescent="0.35">
      <c r="A166" s="82"/>
      <c r="B166" s="96"/>
      <c r="C166" s="96"/>
      <c r="D166" s="96"/>
      <c r="E166" s="97"/>
      <c r="F166" s="96"/>
      <c r="G166" s="96"/>
      <c r="H166" s="107"/>
      <c r="I166" s="96"/>
      <c r="J166" s="96"/>
      <c r="K166" s="96"/>
      <c r="L166" s="78"/>
      <c r="M166" s="78"/>
      <c r="N166" s="78"/>
    </row>
    <row r="167" spans="1:14" x14ac:dyDescent="0.25">
      <c r="A167" s="82"/>
      <c r="B167" s="78"/>
      <c r="C167" s="78"/>
      <c r="D167" s="78"/>
      <c r="E167" s="78"/>
      <c r="F167" s="78"/>
      <c r="G167" s="78"/>
      <c r="H167" s="78"/>
      <c r="I167" s="78"/>
      <c r="J167" s="78"/>
      <c r="K167" s="78"/>
      <c r="L167" s="78"/>
      <c r="M167" s="78"/>
      <c r="N167" s="78"/>
    </row>
    <row r="168" spans="1:14" x14ac:dyDescent="0.25">
      <c r="A168" s="82"/>
      <c r="B168" s="78"/>
      <c r="C168" s="78"/>
      <c r="D168" s="78"/>
      <c r="E168" s="78"/>
      <c r="F168" s="78"/>
      <c r="G168" s="78"/>
      <c r="H168" s="78"/>
      <c r="I168" s="78"/>
      <c r="J168" s="78"/>
      <c r="K168" s="78"/>
      <c r="L168" s="78"/>
      <c r="M168" s="78"/>
      <c r="N168" s="78"/>
    </row>
    <row r="169" spans="1:14" ht="23.25" x14ac:dyDescent="0.35">
      <c r="A169" s="82"/>
      <c r="B169" s="96"/>
      <c r="C169" s="78"/>
      <c r="D169" s="78"/>
      <c r="E169" s="78"/>
      <c r="F169" s="78"/>
      <c r="G169" s="78"/>
      <c r="H169" s="108"/>
      <c r="I169" s="78"/>
      <c r="J169" s="78"/>
      <c r="K169" s="78"/>
      <c r="L169" s="78"/>
      <c r="M169" s="78"/>
      <c r="N169" s="78"/>
    </row>
    <row r="170" spans="1:14" x14ac:dyDescent="0.25">
      <c r="A170" s="82"/>
      <c r="B170" s="78"/>
      <c r="C170" s="78"/>
      <c r="D170" s="78"/>
      <c r="E170" s="78"/>
      <c r="F170" s="78"/>
      <c r="G170" s="78"/>
      <c r="H170" s="78"/>
      <c r="I170" s="78"/>
      <c r="J170" s="78"/>
      <c r="K170" s="78"/>
      <c r="L170" s="78"/>
      <c r="M170" s="78"/>
      <c r="N170" s="78"/>
    </row>
    <row r="171" spans="1:14" x14ac:dyDescent="0.25">
      <c r="A171" s="82"/>
      <c r="B171" s="78"/>
      <c r="C171" s="78"/>
      <c r="D171" s="78"/>
      <c r="E171" s="78"/>
      <c r="F171" s="78"/>
      <c r="G171" s="78"/>
      <c r="H171" s="78"/>
      <c r="I171" s="78"/>
      <c r="J171" s="78"/>
      <c r="K171" s="78"/>
      <c r="L171" s="78"/>
      <c r="M171" s="78"/>
      <c r="N171" s="78"/>
    </row>
    <row r="172" spans="1:14" x14ac:dyDescent="0.25">
      <c r="A172" s="82"/>
      <c r="B172" s="78"/>
      <c r="C172" s="78"/>
      <c r="D172" s="78"/>
      <c r="E172" s="78"/>
      <c r="F172" s="78"/>
      <c r="G172" s="78"/>
      <c r="H172" s="78"/>
      <c r="I172" s="78"/>
      <c r="J172" s="78"/>
      <c r="K172" s="78"/>
      <c r="L172" s="78"/>
      <c r="M172" s="78"/>
      <c r="N172" s="78"/>
    </row>
    <row r="173" spans="1:14" x14ac:dyDescent="0.25">
      <c r="A173" s="82"/>
      <c r="B173" s="78"/>
      <c r="C173" s="78"/>
      <c r="D173" s="78"/>
      <c r="E173" s="78"/>
      <c r="F173" s="78"/>
      <c r="G173" s="78"/>
      <c r="H173" s="78"/>
      <c r="I173" s="78"/>
      <c r="J173" s="78"/>
      <c r="K173" s="78"/>
      <c r="L173" s="78"/>
      <c r="M173" s="78"/>
      <c r="N173" s="78"/>
    </row>
    <row r="174" spans="1:14" x14ac:dyDescent="0.25">
      <c r="A174" s="82"/>
      <c r="B174" s="78"/>
      <c r="C174" s="78"/>
      <c r="D174" s="78"/>
      <c r="E174" s="78"/>
      <c r="F174" s="78"/>
      <c r="G174" s="78"/>
      <c r="H174" s="78"/>
      <c r="I174" s="78"/>
      <c r="J174" s="78"/>
      <c r="K174" s="78"/>
      <c r="L174" s="78"/>
      <c r="M174" s="78"/>
      <c r="N174" s="78"/>
    </row>
    <row r="175" spans="1:14" x14ac:dyDescent="0.25">
      <c r="A175" s="82"/>
      <c r="B175" s="78"/>
      <c r="C175" s="78"/>
      <c r="D175" s="78"/>
      <c r="E175" s="78"/>
      <c r="F175" s="78"/>
      <c r="G175" s="78"/>
      <c r="H175" s="78"/>
      <c r="I175" s="78"/>
      <c r="J175" s="78"/>
      <c r="K175" s="78"/>
      <c r="L175" s="78"/>
      <c r="M175" s="78"/>
      <c r="N175" s="78"/>
    </row>
    <row r="176" spans="1:14" ht="15.75" x14ac:dyDescent="0.25">
      <c r="A176" s="82"/>
      <c r="B176" s="77"/>
      <c r="C176" s="78"/>
      <c r="D176" s="78"/>
      <c r="E176" s="78"/>
      <c r="F176" s="78"/>
      <c r="G176" s="78"/>
      <c r="H176" s="78"/>
      <c r="I176" s="78"/>
      <c r="J176" s="78"/>
      <c r="K176" s="78"/>
      <c r="L176" s="78"/>
      <c r="M176" s="78"/>
      <c r="N176" s="78"/>
    </row>
    <row r="177" spans="1:14" x14ac:dyDescent="0.25">
      <c r="A177" s="82"/>
      <c r="B177" s="57"/>
      <c r="C177" s="92"/>
      <c r="D177" s="78"/>
      <c r="E177" s="78"/>
      <c r="F177" s="78"/>
      <c r="G177" s="78"/>
      <c r="H177" s="78"/>
      <c r="I177" s="78"/>
      <c r="J177" s="78"/>
      <c r="K177" s="78"/>
      <c r="L177" s="78"/>
      <c r="M177" s="78"/>
      <c r="N177" s="78"/>
    </row>
    <row r="178" spans="1:14" x14ac:dyDescent="0.25">
      <c r="A178" s="82"/>
      <c r="B178" s="55"/>
      <c r="C178" s="55"/>
      <c r="D178" s="78"/>
      <c r="E178" s="78"/>
      <c r="F178" s="78"/>
      <c r="G178" s="78"/>
      <c r="H178" s="78"/>
      <c r="I178" s="78"/>
      <c r="J178" s="78"/>
      <c r="K178" s="78"/>
      <c r="L178" s="78"/>
      <c r="M178" s="78"/>
      <c r="N178" s="78"/>
    </row>
    <row r="179" spans="1:14" x14ac:dyDescent="0.25">
      <c r="A179" s="82"/>
      <c r="B179" s="78"/>
      <c r="C179" s="81"/>
      <c r="D179" s="78"/>
      <c r="E179" s="78"/>
      <c r="F179" s="78"/>
      <c r="G179" s="78"/>
      <c r="H179" s="78"/>
      <c r="I179" s="78"/>
      <c r="J179" s="78"/>
      <c r="L179" s="78"/>
      <c r="M179" s="78"/>
      <c r="N179" s="78"/>
    </row>
    <row r="180" spans="1:14" x14ac:dyDescent="0.25">
      <c r="A180" s="2"/>
      <c r="B180" s="78"/>
      <c r="C180" s="81"/>
      <c r="D180" s="78"/>
      <c r="E180" s="78"/>
      <c r="F180" s="78"/>
      <c r="G180" s="78"/>
      <c r="H180" s="78"/>
      <c r="I180" s="78"/>
      <c r="J180" s="78"/>
    </row>
    <row r="181" spans="1:14" x14ac:dyDescent="0.25">
      <c r="A181" s="2"/>
      <c r="B181" s="78"/>
      <c r="C181" s="81"/>
      <c r="D181" s="78"/>
      <c r="E181" s="78"/>
      <c r="F181" s="78"/>
      <c r="G181" s="78"/>
      <c r="H181" s="78"/>
      <c r="I181" s="78"/>
      <c r="J181" s="78"/>
    </row>
    <row r="182" spans="1:14" x14ac:dyDescent="0.25">
      <c r="A182" s="2"/>
      <c r="B182" s="78"/>
      <c r="C182" s="81"/>
      <c r="D182" s="78"/>
      <c r="E182" s="78"/>
      <c r="F182" s="78"/>
      <c r="G182" s="78"/>
      <c r="H182" s="78"/>
      <c r="I182" s="78"/>
      <c r="J182" s="78"/>
    </row>
    <row r="183" spans="1:14" x14ac:dyDescent="0.25">
      <c r="A183" s="2"/>
      <c r="B183" s="78"/>
      <c r="C183" s="81"/>
      <c r="D183" s="78"/>
      <c r="E183" s="78"/>
      <c r="F183" s="78"/>
      <c r="G183" s="78"/>
      <c r="H183" s="78"/>
      <c r="I183" s="78"/>
      <c r="J183" s="78"/>
    </row>
    <row r="184" spans="1:14" x14ac:dyDescent="0.25">
      <c r="A184" s="2"/>
      <c r="B184" s="78"/>
      <c r="C184" s="81"/>
      <c r="D184" s="78"/>
      <c r="E184" s="78"/>
      <c r="F184" s="78"/>
      <c r="G184" s="78"/>
      <c r="H184" s="78"/>
      <c r="I184" s="78"/>
      <c r="J184" s="78"/>
    </row>
    <row r="185" spans="1:14" x14ac:dyDescent="0.25">
      <c r="A185" s="2"/>
      <c r="B185" s="78"/>
      <c r="C185" s="81"/>
      <c r="D185" s="78"/>
      <c r="E185" s="78"/>
      <c r="F185" s="78"/>
      <c r="G185" s="78"/>
      <c r="H185" s="78"/>
      <c r="I185" s="78"/>
      <c r="J185" s="78"/>
    </row>
    <row r="186" spans="1:14" x14ac:dyDescent="0.25">
      <c r="A186" s="2"/>
      <c r="B186" s="78"/>
      <c r="C186" s="81"/>
      <c r="D186" s="78"/>
      <c r="E186" s="78"/>
      <c r="F186" s="78"/>
      <c r="G186" s="78"/>
      <c r="H186" s="78"/>
      <c r="I186" s="78"/>
      <c r="J186" s="78"/>
    </row>
    <row r="187" spans="1:14" x14ac:dyDescent="0.25">
      <c r="A187" s="2"/>
      <c r="B187" s="78"/>
      <c r="C187" s="81"/>
      <c r="D187" s="78"/>
      <c r="E187" s="78"/>
      <c r="F187" s="78"/>
      <c r="G187" s="78"/>
      <c r="H187" s="78"/>
      <c r="I187" s="78"/>
      <c r="J187" s="78"/>
    </row>
    <row r="188" spans="1:14" x14ac:dyDescent="0.25">
      <c r="A188" s="2"/>
      <c r="B188" s="78"/>
      <c r="C188" s="81"/>
      <c r="D188" s="78"/>
      <c r="E188" s="78"/>
      <c r="F188" s="78"/>
      <c r="G188" s="78"/>
      <c r="H188" s="78"/>
      <c r="I188" s="78"/>
      <c r="J188" s="78"/>
    </row>
    <row r="189" spans="1:14" x14ac:dyDescent="0.25">
      <c r="A189" s="2"/>
      <c r="B189" s="78"/>
      <c r="C189" s="81"/>
      <c r="D189" s="78"/>
      <c r="E189" s="78"/>
      <c r="F189" s="78"/>
      <c r="G189" s="78"/>
      <c r="H189" s="78"/>
      <c r="I189" s="78"/>
      <c r="J189" s="78"/>
    </row>
    <row r="190" spans="1:14" x14ac:dyDescent="0.25">
      <c r="A190" s="2"/>
      <c r="B190" s="93"/>
      <c r="C190" s="94"/>
      <c r="D190" s="78"/>
      <c r="E190" s="78"/>
      <c r="F190" s="78"/>
      <c r="G190" s="78"/>
      <c r="H190" s="78"/>
      <c r="I190" s="78"/>
      <c r="J190" s="78"/>
    </row>
    <row r="191" spans="1:14" x14ac:dyDescent="0.25">
      <c r="A191" s="2"/>
      <c r="B191" s="93"/>
      <c r="C191" s="94"/>
      <c r="D191" s="78"/>
      <c r="E191" s="78"/>
      <c r="F191" s="78"/>
      <c r="G191" s="78"/>
      <c r="H191" s="78"/>
      <c r="I191" s="78"/>
      <c r="J191" s="78"/>
    </row>
    <row r="192" spans="1:14" x14ac:dyDescent="0.25">
      <c r="A192" s="2"/>
      <c r="B192" s="95"/>
      <c r="C192" s="94"/>
      <c r="D192" s="78"/>
      <c r="E192" s="78"/>
      <c r="F192" s="78"/>
      <c r="G192" s="78"/>
      <c r="H192" s="78"/>
      <c r="I192" s="78"/>
      <c r="J192" s="78"/>
    </row>
    <row r="193" spans="1:10" x14ac:dyDescent="0.25">
      <c r="A193" s="2"/>
      <c r="B193" s="78"/>
      <c r="C193" s="81"/>
      <c r="D193" s="78"/>
      <c r="E193" s="78"/>
      <c r="F193" s="78"/>
      <c r="G193" s="78"/>
      <c r="H193" s="78"/>
      <c r="I193" s="78"/>
      <c r="J193" s="78"/>
    </row>
    <row r="194" spans="1:10" x14ac:dyDescent="0.25">
      <c r="A194" s="2"/>
      <c r="B194" s="55"/>
      <c r="C194" s="55"/>
      <c r="D194" s="78"/>
      <c r="E194" s="78"/>
      <c r="F194" s="78"/>
      <c r="G194" s="78"/>
      <c r="H194" s="78"/>
      <c r="I194" s="78"/>
      <c r="J194" s="78"/>
    </row>
    <row r="195" spans="1:10" x14ac:dyDescent="0.25">
      <c r="A195" s="2"/>
      <c r="B195" s="78"/>
      <c r="C195" s="81"/>
      <c r="D195" s="78"/>
      <c r="E195" s="78"/>
      <c r="F195" s="78"/>
      <c r="G195" s="78"/>
      <c r="H195" s="78"/>
      <c r="I195" s="78"/>
      <c r="J195" s="78"/>
    </row>
    <row r="196" spans="1:10" x14ac:dyDescent="0.25">
      <c r="A196" s="2"/>
      <c r="B196" s="78"/>
      <c r="C196" s="81"/>
      <c r="D196" s="78"/>
      <c r="E196" s="78"/>
      <c r="F196" s="81"/>
      <c r="G196" s="78"/>
      <c r="H196" s="81"/>
      <c r="I196" s="78"/>
      <c r="J196" s="78"/>
    </row>
    <row r="197" spans="1:10" x14ac:dyDescent="0.25">
      <c r="A197" s="2"/>
      <c r="B197" s="78"/>
      <c r="C197" s="81"/>
      <c r="D197" s="78"/>
      <c r="E197" s="78"/>
      <c r="F197" s="81"/>
      <c r="G197" s="78"/>
      <c r="H197" s="81"/>
      <c r="I197" s="78"/>
      <c r="J197" s="78"/>
    </row>
    <row r="198" spans="1:10" x14ac:dyDescent="0.25">
      <c r="A198" s="2"/>
      <c r="B198" s="93"/>
      <c r="C198" s="94"/>
      <c r="D198" s="78"/>
      <c r="E198" s="78"/>
      <c r="F198" s="78"/>
      <c r="G198" s="78"/>
      <c r="H198" s="78"/>
      <c r="I198" s="78"/>
      <c r="J198" s="78"/>
    </row>
    <row r="199" spans="1:10" x14ac:dyDescent="0.25">
      <c r="A199" s="2"/>
      <c r="B199" s="78"/>
      <c r="C199" s="81"/>
      <c r="D199" s="78"/>
      <c r="E199" s="78"/>
      <c r="F199" s="78"/>
      <c r="G199" s="78"/>
      <c r="H199" s="78"/>
      <c r="I199" s="78"/>
      <c r="J199" s="78"/>
    </row>
    <row r="200" spans="1:10" x14ac:dyDescent="0.25">
      <c r="A200" s="2"/>
      <c r="B200" s="55"/>
      <c r="C200" s="84"/>
      <c r="D200" s="78"/>
      <c r="E200" s="78"/>
      <c r="F200" s="78"/>
      <c r="G200" s="78"/>
      <c r="H200" s="78"/>
      <c r="I200" s="78"/>
      <c r="J200" s="78"/>
    </row>
    <row r="201" spans="1:10" x14ac:dyDescent="0.25">
      <c r="A201" s="2"/>
      <c r="B201" s="78"/>
      <c r="C201" s="81"/>
      <c r="D201" s="78"/>
      <c r="E201" s="78"/>
      <c r="F201" s="78"/>
      <c r="G201" s="78"/>
      <c r="H201" s="78"/>
      <c r="I201" s="78"/>
      <c r="J201" s="78"/>
    </row>
    <row r="202" spans="1:10" x14ac:dyDescent="0.25">
      <c r="A202" s="2"/>
      <c r="B202" s="78"/>
      <c r="C202" s="81"/>
      <c r="D202" s="78"/>
      <c r="E202" s="78"/>
      <c r="F202" s="78"/>
      <c r="G202" s="78"/>
      <c r="H202" s="78"/>
      <c r="I202" s="78"/>
      <c r="J202" s="78"/>
    </row>
    <row r="203" spans="1:10" x14ac:dyDescent="0.25">
      <c r="A203" s="2"/>
      <c r="B203" s="78"/>
      <c r="C203" s="81"/>
      <c r="D203" s="78"/>
      <c r="E203" s="78"/>
      <c r="F203" s="78"/>
      <c r="G203" s="78"/>
      <c r="H203" s="78"/>
      <c r="I203" s="78"/>
      <c r="J203" s="78"/>
    </row>
    <row r="204" spans="1:10" x14ac:dyDescent="0.25">
      <c r="A204" s="2"/>
      <c r="B204" s="55"/>
      <c r="C204" s="84"/>
      <c r="D204" s="78"/>
      <c r="E204" s="78"/>
      <c r="F204" s="78"/>
      <c r="G204" s="78"/>
      <c r="H204" s="78"/>
      <c r="I204" s="78"/>
      <c r="J204" s="78"/>
    </row>
    <row r="205" spans="1:10" x14ac:dyDescent="0.25">
      <c r="A205" s="2"/>
      <c r="B205" s="78"/>
      <c r="C205" s="81"/>
      <c r="D205" s="78"/>
      <c r="E205" s="78"/>
      <c r="F205" s="78"/>
      <c r="G205" s="78"/>
      <c r="H205" s="78"/>
      <c r="I205" s="78"/>
      <c r="J205" s="78"/>
    </row>
    <row r="206" spans="1:10" x14ac:dyDescent="0.25">
      <c r="A206" s="2"/>
      <c r="B206" s="78"/>
      <c r="C206" s="81"/>
      <c r="D206" s="78"/>
      <c r="E206" s="78"/>
      <c r="F206" s="78"/>
      <c r="G206" s="78"/>
      <c r="H206" s="78"/>
      <c r="I206" s="78"/>
      <c r="J206" s="78"/>
    </row>
    <row r="207" spans="1:10" x14ac:dyDescent="0.25">
      <c r="A207" s="2"/>
      <c r="B207" s="78"/>
      <c r="C207" s="81"/>
      <c r="D207" s="78"/>
      <c r="E207" s="78"/>
      <c r="F207" s="78"/>
      <c r="G207" s="78"/>
      <c r="H207" s="78"/>
      <c r="I207" s="78"/>
      <c r="J207" s="78"/>
    </row>
    <row r="208" spans="1:10" x14ac:dyDescent="0.25">
      <c r="A208" s="2"/>
      <c r="B208" s="78"/>
      <c r="C208" s="78"/>
      <c r="D208" s="83"/>
      <c r="E208" s="86"/>
      <c r="F208" s="78"/>
      <c r="G208" s="78"/>
      <c r="H208" s="78"/>
      <c r="I208" s="78"/>
      <c r="J208" s="78"/>
    </row>
    <row r="209" spans="1:10" x14ac:dyDescent="0.25">
      <c r="A209" s="2"/>
      <c r="B209" s="78"/>
      <c r="C209" s="78"/>
      <c r="D209" s="78"/>
      <c r="E209" s="78"/>
      <c r="F209" s="78"/>
      <c r="G209" s="78"/>
      <c r="H209" s="78"/>
      <c r="I209" s="78"/>
      <c r="J209" s="78"/>
    </row>
    <row r="210" spans="1:10" x14ac:dyDescent="0.25">
      <c r="A210" s="2"/>
      <c r="B210" s="55"/>
      <c r="C210" s="79"/>
      <c r="D210" s="55"/>
      <c r="E210" s="78"/>
      <c r="F210" s="78"/>
      <c r="G210" s="78"/>
      <c r="H210" s="78"/>
      <c r="I210" s="78"/>
      <c r="J210" s="78"/>
    </row>
    <row r="211" spans="1:10" x14ac:dyDescent="0.25">
      <c r="A211" s="2"/>
      <c r="B211" s="78"/>
      <c r="C211" s="80"/>
      <c r="D211" s="85"/>
      <c r="E211" s="78"/>
      <c r="F211" s="78"/>
      <c r="G211" s="78"/>
      <c r="H211" s="78"/>
      <c r="I211" s="65"/>
    </row>
    <row r="212" spans="1:10" x14ac:dyDescent="0.25">
      <c r="A212" s="2"/>
      <c r="B212" s="78"/>
      <c r="C212" s="80"/>
      <c r="D212" s="85"/>
      <c r="E212" s="78"/>
      <c r="F212" s="82"/>
      <c r="G212" s="78"/>
      <c r="H212" s="78"/>
      <c r="I212" s="65"/>
    </row>
    <row r="213" spans="1:10" x14ac:dyDescent="0.25">
      <c r="A213" s="2"/>
      <c r="B213" s="78"/>
      <c r="C213" s="80"/>
      <c r="D213" s="85"/>
      <c r="E213" s="78"/>
      <c r="F213" s="82"/>
      <c r="G213" s="78"/>
      <c r="H213" s="78"/>
      <c r="I213" s="65"/>
    </row>
    <row r="214" spans="1:10" x14ac:dyDescent="0.25">
      <c r="A214" s="2"/>
      <c r="B214" s="78"/>
      <c r="C214" s="80"/>
      <c r="D214" s="85"/>
      <c r="E214" s="78"/>
      <c r="F214" s="81"/>
      <c r="G214" s="78"/>
      <c r="H214" s="78"/>
      <c r="I214" s="65"/>
    </row>
    <row r="215" spans="1:10" x14ac:dyDescent="0.25">
      <c r="A215" s="2"/>
      <c r="B215" s="78"/>
      <c r="C215" s="80"/>
      <c r="D215" s="85"/>
      <c r="E215" s="78"/>
      <c r="F215" s="78"/>
      <c r="G215" s="78"/>
      <c r="H215" s="78"/>
      <c r="I215" s="65"/>
    </row>
    <row r="216" spans="1:10" x14ac:dyDescent="0.25">
      <c r="A216" s="2"/>
      <c r="B216" s="78"/>
      <c r="C216" s="80"/>
      <c r="D216" s="85"/>
      <c r="E216" s="78"/>
      <c r="F216" s="78"/>
      <c r="G216" s="78"/>
      <c r="H216" s="78"/>
      <c r="I216" s="65"/>
    </row>
    <row r="217" spans="1:10" x14ac:dyDescent="0.25">
      <c r="A217" s="2"/>
      <c r="B217" s="78"/>
      <c r="C217" s="80"/>
      <c r="D217" s="85"/>
      <c r="E217" s="78"/>
      <c r="F217" s="78"/>
      <c r="G217" s="78"/>
      <c r="H217" s="78"/>
      <c r="I217" s="65"/>
    </row>
    <row r="218" spans="1:10" x14ac:dyDescent="0.25">
      <c r="A218" s="2"/>
      <c r="B218" s="78"/>
      <c r="C218" s="80"/>
      <c r="D218" s="85"/>
      <c r="E218" s="78"/>
      <c r="F218" s="78"/>
      <c r="G218" s="78"/>
      <c r="H218" s="78"/>
      <c r="I218" s="65"/>
    </row>
    <row r="219" spans="1:10" x14ac:dyDescent="0.25">
      <c r="A219" s="2"/>
      <c r="B219" s="78"/>
      <c r="C219" s="80"/>
      <c r="D219" s="85"/>
      <c r="E219" s="78"/>
      <c r="F219" s="78"/>
      <c r="G219" s="78"/>
      <c r="H219" s="78"/>
      <c r="I219" s="65"/>
    </row>
    <row r="220" spans="1:10" x14ac:dyDescent="0.25">
      <c r="A220" s="2"/>
      <c r="B220" s="78"/>
      <c r="C220" s="80"/>
      <c r="D220" s="85"/>
      <c r="E220" s="78"/>
      <c r="F220" s="78"/>
      <c r="G220" s="78"/>
      <c r="H220" s="78"/>
      <c r="I220" s="65"/>
    </row>
    <row r="221" spans="1:10" x14ac:dyDescent="0.25">
      <c r="A221" s="2"/>
      <c r="B221" s="78"/>
      <c r="C221" s="80"/>
      <c r="D221" s="85"/>
      <c r="E221" s="78"/>
      <c r="F221" s="78"/>
      <c r="G221" s="78"/>
      <c r="H221" s="78"/>
      <c r="I221" s="65"/>
    </row>
    <row r="222" spans="1:10" x14ac:dyDescent="0.25">
      <c r="A222" s="2"/>
      <c r="B222" s="78"/>
      <c r="C222" s="80"/>
      <c r="D222" s="85"/>
      <c r="E222" s="78"/>
      <c r="F222" s="78"/>
      <c r="G222" s="78"/>
      <c r="H222" s="78"/>
      <c r="I222" s="65"/>
    </row>
    <row r="223" spans="1:10" x14ac:dyDescent="0.25">
      <c r="A223" s="2"/>
      <c r="B223" s="78"/>
      <c r="C223" s="80"/>
      <c r="D223" s="85"/>
      <c r="E223" s="78"/>
      <c r="F223" s="78"/>
      <c r="G223" s="78"/>
      <c r="H223" s="78"/>
      <c r="I223" s="65"/>
    </row>
    <row r="224" spans="1:10" x14ac:dyDescent="0.25">
      <c r="A224" s="2"/>
      <c r="B224" s="78"/>
      <c r="C224" s="80"/>
      <c r="D224" s="85"/>
      <c r="E224" s="78"/>
      <c r="F224" s="78"/>
      <c r="G224" s="78"/>
      <c r="H224" s="78"/>
      <c r="I224" s="65"/>
    </row>
    <row r="225" spans="1:9" x14ac:dyDescent="0.25">
      <c r="A225" s="2"/>
      <c r="B225" s="78"/>
      <c r="C225" s="80"/>
      <c r="D225" s="83"/>
      <c r="E225" s="84"/>
      <c r="F225" s="78"/>
      <c r="G225" s="78"/>
      <c r="H225" s="78"/>
      <c r="I225" s="65"/>
    </row>
    <row r="226" spans="1:9" ht="26.25" x14ac:dyDescent="0.4">
      <c r="B226" s="57"/>
      <c r="C226" s="78"/>
      <c r="D226" s="87"/>
      <c r="E226" s="88"/>
      <c r="F226" s="78"/>
      <c r="G226" s="78"/>
      <c r="H226" s="78"/>
    </row>
    <row r="227" spans="1:9" ht="15.75" x14ac:dyDescent="0.25">
      <c r="B227" s="78"/>
      <c r="C227" s="78"/>
      <c r="D227" s="89"/>
      <c r="E227" s="63"/>
      <c r="F227" s="78"/>
      <c r="G227" s="78"/>
      <c r="H227" s="78"/>
    </row>
    <row r="228" spans="1:9" ht="15.75" x14ac:dyDescent="0.25">
      <c r="B228" s="37"/>
      <c r="C228" s="37"/>
      <c r="D228" s="58"/>
      <c r="E228" s="59"/>
    </row>
    <row r="229" spans="1:9" ht="15.75" x14ac:dyDescent="0.25">
      <c r="B229" s="37"/>
      <c r="C229" s="37"/>
      <c r="D229" s="37"/>
      <c r="E229" s="63"/>
    </row>
    <row r="230" spans="1:9" ht="15.75" x14ac:dyDescent="0.25">
      <c r="B230" s="37"/>
      <c r="C230" s="37"/>
      <c r="D230" s="37"/>
      <c r="E230" s="63"/>
    </row>
    <row r="231" spans="1:9" ht="18.75" x14ac:dyDescent="0.3">
      <c r="B231" s="37"/>
      <c r="C231" s="60"/>
      <c r="D231" s="60"/>
      <c r="E231" s="64"/>
    </row>
    <row r="232" spans="1:9" ht="15.75" x14ac:dyDescent="0.25">
      <c r="B232" s="62"/>
      <c r="C232" s="37"/>
      <c r="D232" s="37"/>
      <c r="E232" s="63"/>
    </row>
    <row r="233" spans="1:9" ht="15.75" x14ac:dyDescent="0.25">
      <c r="B233" s="62"/>
      <c r="C233" s="37"/>
      <c r="D233" s="37"/>
      <c r="E233" s="63"/>
    </row>
    <row r="234" spans="1:9" ht="15.75" x14ac:dyDescent="0.25">
      <c r="B234" s="62"/>
      <c r="C234" s="37"/>
      <c r="D234" s="37"/>
      <c r="E234" s="63"/>
    </row>
    <row r="235" spans="1:9" ht="15.75" x14ac:dyDescent="0.25">
      <c r="B235" s="62"/>
      <c r="C235" s="37"/>
      <c r="D235" s="37"/>
      <c r="E235" s="63"/>
    </row>
    <row r="236" spans="1:9" ht="18.75" x14ac:dyDescent="0.3">
      <c r="B236" s="37"/>
      <c r="C236" s="62"/>
      <c r="D236" s="62"/>
      <c r="E236" s="61"/>
    </row>
  </sheetData>
  <sheetProtection password="DBB5" sheet="1" objects="1" scenarios="1"/>
  <pageMargins left="0.7" right="0.7" top="0.75" bottom="0.75" header="0.3" footer="0.3"/>
  <pageSetup paperSize="3" scale="44"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B12" sqref="B12"/>
    </sheetView>
  </sheetViews>
  <sheetFormatPr defaultRowHeight="15" x14ac:dyDescent="0.25"/>
  <cols>
    <col min="1" max="1" width="5" customWidth="1"/>
    <col min="2" max="2" width="31.7109375" customWidth="1"/>
    <col min="3" max="3" width="18.42578125" customWidth="1"/>
    <col min="4" max="4" width="12.7109375" customWidth="1"/>
    <col min="5" max="5" width="11" customWidth="1"/>
  </cols>
  <sheetData>
    <row r="1" spans="1:5" ht="36.75" x14ac:dyDescent="0.7">
      <c r="A1" s="68" t="s">
        <v>45</v>
      </c>
      <c r="B1" s="53"/>
      <c r="C1" s="53"/>
    </row>
    <row r="2" spans="1:5" x14ac:dyDescent="0.25">
      <c r="A2" s="56" t="s">
        <v>42</v>
      </c>
    </row>
    <row r="3" spans="1:5" ht="18.75" x14ac:dyDescent="0.3">
      <c r="A3" s="50" t="str">
        <f>Sheet1!B4</f>
        <v>Construction Budget for Mr. &amp; Mrs.  Two story/Bungalow with developed basement</v>
      </c>
    </row>
    <row r="4" spans="1:5" ht="18.75" x14ac:dyDescent="0.3">
      <c r="A4" s="50"/>
    </row>
    <row r="5" spans="1:5" ht="20.25" x14ac:dyDescent="0.4">
      <c r="A5" s="50"/>
      <c r="B5" s="161" t="s">
        <v>158</v>
      </c>
    </row>
    <row r="6" spans="1:5" ht="15.75" thickBot="1" x14ac:dyDescent="0.3">
      <c r="C6" s="2" t="s">
        <v>156</v>
      </c>
      <c r="D6" s="2" t="s">
        <v>157</v>
      </c>
      <c r="E6" s="42" t="s">
        <v>12</v>
      </c>
    </row>
    <row r="7" spans="1:5" x14ac:dyDescent="0.25">
      <c r="A7" s="2">
        <v>1</v>
      </c>
      <c r="B7" s="28" t="s">
        <v>35</v>
      </c>
      <c r="C7" s="150">
        <f>Sheet1!H12</f>
        <v>31541.66</v>
      </c>
      <c r="D7" s="151">
        <f>Sheet1!J12</f>
        <v>6.7005928571428583</v>
      </c>
      <c r="E7" s="152">
        <f>Sheet1!K12</f>
        <v>3.7924864117603728E-2</v>
      </c>
    </row>
    <row r="8" spans="1:5" x14ac:dyDescent="0.25">
      <c r="A8" s="2">
        <v>2</v>
      </c>
      <c r="B8" s="8" t="s">
        <v>111</v>
      </c>
      <c r="C8" s="155">
        <f>Sheet1!H21</f>
        <v>58000</v>
      </c>
      <c r="D8" s="157">
        <f>Sheet1!J21</f>
        <v>1.6071428571428572</v>
      </c>
      <c r="E8" s="159">
        <f>Sheet1!K21</f>
        <v>6.9737677687890118E-2</v>
      </c>
    </row>
    <row r="9" spans="1:5" x14ac:dyDescent="0.25">
      <c r="A9" s="2">
        <v>3</v>
      </c>
      <c r="B9" s="8" t="s">
        <v>155</v>
      </c>
      <c r="C9" s="155">
        <f>Sheet1!H28</f>
        <v>52788.633333333331</v>
      </c>
      <c r="D9" s="157">
        <f>Sheet1!J28</f>
        <v>16.808797619047617</v>
      </c>
      <c r="E9" s="159">
        <f>Sheet1!K28</f>
        <v>6.3471667189382963E-2</v>
      </c>
    </row>
    <row r="10" spans="1:5" x14ac:dyDescent="0.25">
      <c r="A10" s="2">
        <v>4</v>
      </c>
      <c r="B10" s="8" t="s">
        <v>101</v>
      </c>
      <c r="C10" s="155">
        <f>Sheet1!H35</f>
        <v>219028.07999999996</v>
      </c>
      <c r="D10" s="157">
        <f>Sheet1!J35</f>
        <v>22.105428571428572</v>
      </c>
      <c r="E10" s="159">
        <f>Sheet1!K35</f>
        <v>0.26335361461443807</v>
      </c>
    </row>
    <row r="11" spans="1:5" x14ac:dyDescent="0.25">
      <c r="A11" s="2">
        <v>5</v>
      </c>
      <c r="B11" s="8" t="s">
        <v>136</v>
      </c>
      <c r="C11" s="155">
        <f>Sheet1!H52</f>
        <v>129239.76539999999</v>
      </c>
      <c r="D11" s="157">
        <f>Sheet1!J52</f>
        <v>32.457652785714288</v>
      </c>
      <c r="E11" s="159">
        <f>Sheet1!K52</f>
        <v>0.15539450179178849</v>
      </c>
    </row>
    <row r="12" spans="1:5" x14ac:dyDescent="0.25">
      <c r="A12" s="2">
        <v>6</v>
      </c>
      <c r="B12" s="8" t="s">
        <v>52</v>
      </c>
      <c r="C12" s="155">
        <f>Sheet1!H70</f>
        <v>49913</v>
      </c>
      <c r="D12" s="157">
        <f>Sheet1!J70</f>
        <v>11.534464285714286</v>
      </c>
      <c r="E12" s="159">
        <f>Sheet1!K70</f>
        <v>6.0014081145442398E-2</v>
      </c>
    </row>
    <row r="13" spans="1:5" x14ac:dyDescent="0.25">
      <c r="A13" s="2">
        <v>7</v>
      </c>
      <c r="B13" s="8" t="s">
        <v>138</v>
      </c>
      <c r="C13" s="155">
        <f>Sheet1!H85</f>
        <v>48343</v>
      </c>
      <c r="D13" s="157">
        <f>Sheet1!J85</f>
        <v>11.562500000000002</v>
      </c>
      <c r="E13" s="159">
        <f>Sheet1!K85</f>
        <v>5.8126354352856409E-2</v>
      </c>
    </row>
    <row r="14" spans="1:5" x14ac:dyDescent="0.25">
      <c r="A14" s="2">
        <v>8</v>
      </c>
      <c r="B14" s="8" t="s">
        <v>13</v>
      </c>
      <c r="C14" s="155">
        <f>Sheet1!H97</f>
        <v>950</v>
      </c>
      <c r="D14" s="157">
        <f>Sheet1!J97</f>
        <v>0.52777777777777779</v>
      </c>
      <c r="E14" s="159">
        <f>Sheet1!K97</f>
        <v>1.1422550655775104E-3</v>
      </c>
    </row>
    <row r="15" spans="1:5" x14ac:dyDescent="0.25">
      <c r="A15" s="2">
        <v>9</v>
      </c>
      <c r="B15" s="8" t="s">
        <v>37</v>
      </c>
      <c r="C15" s="155">
        <f>Sheet1!H105</f>
        <v>45627.5</v>
      </c>
      <c r="D15" s="157">
        <f>Sheet1!J105</f>
        <v>9.0400000000000009</v>
      </c>
      <c r="E15" s="159">
        <f>Sheet1!K105</f>
        <v>5.4861308425934591E-2</v>
      </c>
    </row>
    <row r="16" spans="1:5" x14ac:dyDescent="0.25">
      <c r="A16" s="2">
        <v>10</v>
      </c>
      <c r="B16" s="8" t="s">
        <v>18</v>
      </c>
      <c r="C16" s="155">
        <f>Sheet1!H116</f>
        <v>36621.5</v>
      </c>
      <c r="D16" s="157">
        <f>Sheet1!J116</f>
        <v>8.5119444444444436</v>
      </c>
      <c r="E16" s="159">
        <f>Sheet1!K116</f>
        <v>4.4032730404259791E-2</v>
      </c>
    </row>
    <row r="17" spans="1:5" x14ac:dyDescent="0.25">
      <c r="A17" s="2">
        <v>11</v>
      </c>
      <c r="B17" s="8" t="s">
        <v>32</v>
      </c>
      <c r="C17" s="155">
        <f>Sheet1!H122</f>
        <v>19464.285714285717</v>
      </c>
      <c r="D17" s="157">
        <f>Sheet1!J122</f>
        <v>10.813492063492063</v>
      </c>
      <c r="E17" s="159">
        <f>Sheet1!K122</f>
        <v>2.3403346268411403E-2</v>
      </c>
    </row>
    <row r="18" spans="1:5" ht="15.75" thickBot="1" x14ac:dyDescent="0.3">
      <c r="A18" s="2">
        <v>12</v>
      </c>
      <c r="B18" s="154" t="s">
        <v>20</v>
      </c>
      <c r="C18" s="156">
        <f>Sheet1!H129</f>
        <v>140170.72352280951</v>
      </c>
      <c r="D18" s="158"/>
      <c r="E18" s="160">
        <f>Sheet1!K129</f>
        <v>0.1685375989364146</v>
      </c>
    </row>
    <row r="19" spans="1:5" x14ac:dyDescent="0.25">
      <c r="B19" s="55"/>
      <c r="C19" s="153">
        <f>SUM(C7:C18)</f>
        <v>831688.14797042846</v>
      </c>
      <c r="D19" s="101"/>
      <c r="E19" s="149">
        <f>SUM(E7:E18)</f>
        <v>1.0000000000000002</v>
      </c>
    </row>
    <row r="20" spans="1:5" x14ac:dyDescent="0.25">
      <c r="B20" s="55"/>
      <c r="C20" s="84"/>
      <c r="D20" s="101"/>
      <c r="E20" s="101"/>
    </row>
    <row r="21" spans="1:5" x14ac:dyDescent="0.25">
      <c r="B21" s="55"/>
      <c r="C21" s="84"/>
      <c r="D21" s="101"/>
      <c r="E21" s="101"/>
    </row>
    <row r="22" spans="1:5" x14ac:dyDescent="0.25">
      <c r="B22" s="55"/>
      <c r="C22" s="84"/>
      <c r="D22" s="101"/>
      <c r="E22" s="101"/>
    </row>
    <row r="23" spans="1:5" x14ac:dyDescent="0.25">
      <c r="B23" s="55"/>
      <c r="C23" s="84"/>
      <c r="D23" s="101"/>
      <c r="E23" s="101"/>
    </row>
    <row r="24" spans="1:5" x14ac:dyDescent="0.25">
      <c r="B24" s="55"/>
      <c r="C24" s="84"/>
      <c r="D24" s="101"/>
      <c r="E24" s="101"/>
    </row>
    <row r="25" spans="1:5" x14ac:dyDescent="0.25">
      <c r="B25" s="55"/>
      <c r="C25" s="84"/>
      <c r="D25" s="101"/>
      <c r="E25" s="101"/>
    </row>
  </sheetData>
  <sheetProtection password="DBB5"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8"/>
  <sheetViews>
    <sheetView workbookViewId="0">
      <selection activeCell="D9" sqref="D9"/>
    </sheetView>
  </sheetViews>
  <sheetFormatPr defaultRowHeight="15" x14ac:dyDescent="0.25"/>
  <cols>
    <col min="1" max="1" width="37.85546875" customWidth="1"/>
    <col min="2" max="2" width="15.7109375" customWidth="1"/>
    <col min="3" max="3" width="16" customWidth="1"/>
    <col min="4" max="4" width="15.85546875" customWidth="1"/>
    <col min="5" max="5" width="16.5703125" customWidth="1"/>
  </cols>
  <sheetData>
    <row r="1" spans="1:9" ht="36.75" x14ac:dyDescent="0.7">
      <c r="A1" s="68" t="s">
        <v>45</v>
      </c>
      <c r="B1" s="53"/>
      <c r="C1" s="53"/>
    </row>
    <row r="2" spans="1:9" ht="18.75" x14ac:dyDescent="0.4">
      <c r="A2" s="115" t="s">
        <v>42</v>
      </c>
      <c r="B2" s="232" t="s">
        <v>242</v>
      </c>
      <c r="C2" s="232"/>
    </row>
    <row r="3" spans="1:9" x14ac:dyDescent="0.25">
      <c r="A3" s="56" t="str">
        <f>Sheet1!B4</f>
        <v>Construction Budget for Mr. &amp; Mrs.  Two story/Bungalow with developed basement</v>
      </c>
      <c r="B3" s="56"/>
      <c r="C3" s="56"/>
      <c r="D3" s="56"/>
      <c r="E3" s="56"/>
      <c r="F3" s="56"/>
      <c r="G3" s="56"/>
      <c r="H3" s="56"/>
      <c r="I3" s="56"/>
    </row>
    <row r="4" spans="1:9" x14ac:dyDescent="0.25">
      <c r="A4" s="56"/>
      <c r="B4" s="56"/>
      <c r="C4" s="56"/>
      <c r="D4" s="56"/>
      <c r="E4" s="56"/>
      <c r="F4" s="56"/>
      <c r="G4" s="56"/>
      <c r="H4" s="56"/>
      <c r="I4" s="56"/>
    </row>
    <row r="5" spans="1:9" x14ac:dyDescent="0.25">
      <c r="A5" s="253" t="s">
        <v>240</v>
      </c>
      <c r="B5" s="254"/>
      <c r="C5" s="254"/>
      <c r="D5" s="255"/>
      <c r="E5" s="56"/>
      <c r="F5" s="56"/>
      <c r="G5" s="56"/>
      <c r="H5" s="56"/>
      <c r="I5" s="56"/>
    </row>
    <row r="7" spans="1:9" x14ac:dyDescent="0.25">
      <c r="A7" s="228" t="s">
        <v>223</v>
      </c>
      <c r="B7" s="231" t="s">
        <v>224</v>
      </c>
      <c r="C7" s="231" t="s">
        <v>235</v>
      </c>
      <c r="D7" s="231" t="s">
        <v>225</v>
      </c>
    </row>
    <row r="8" spans="1:9" x14ac:dyDescent="0.25">
      <c r="A8" s="37" t="s">
        <v>96</v>
      </c>
      <c r="B8" s="1">
        <f>Sheet1!G36</f>
        <v>53619.999999999993</v>
      </c>
      <c r="C8" s="233">
        <v>53000</v>
      </c>
      <c r="D8" s="1">
        <f>B8-C8</f>
        <v>619.99999999999272</v>
      </c>
    </row>
    <row r="9" spans="1:9" x14ac:dyDescent="0.25">
      <c r="A9" s="37" t="s">
        <v>97</v>
      </c>
      <c r="B9" s="1">
        <f>Sheet1!G37</f>
        <v>23044</v>
      </c>
      <c r="C9" s="233">
        <v>24000</v>
      </c>
      <c r="D9" s="1">
        <f t="shared" ref="D9:D13" si="0">B9-C9</f>
        <v>-956</v>
      </c>
    </row>
    <row r="10" spans="1:9" x14ac:dyDescent="0.25">
      <c r="A10" s="37" t="s">
        <v>98</v>
      </c>
      <c r="B10" s="1">
        <f>Sheet1!G38</f>
        <v>23387</v>
      </c>
      <c r="C10" s="233">
        <v>24000</v>
      </c>
      <c r="D10" s="1">
        <f t="shared" si="0"/>
        <v>-613</v>
      </c>
    </row>
    <row r="11" spans="1:9" x14ac:dyDescent="0.25">
      <c r="A11" s="37" t="s">
        <v>173</v>
      </c>
      <c r="B11" s="1">
        <f>Sheet1!$G$42</f>
        <v>8445.5</v>
      </c>
      <c r="C11" s="233">
        <v>8445</v>
      </c>
      <c r="D11" s="1">
        <f t="shared" si="0"/>
        <v>0.5</v>
      </c>
    </row>
    <row r="12" spans="1:9" ht="15.75" thickBot="1" x14ac:dyDescent="0.3">
      <c r="A12" s="37" t="s">
        <v>125</v>
      </c>
      <c r="B12" s="222">
        <f>Sheet1!$G$44</f>
        <v>1891.2</v>
      </c>
      <c r="C12" s="234">
        <v>1891</v>
      </c>
      <c r="D12" s="222">
        <f t="shared" si="0"/>
        <v>0.20000000000004547</v>
      </c>
    </row>
    <row r="13" spans="1:9" x14ac:dyDescent="0.25">
      <c r="B13" s="54">
        <f>SUM(B8:B12)</f>
        <v>110387.7</v>
      </c>
      <c r="C13" s="223">
        <f>SUM(C8:C12)</f>
        <v>111336</v>
      </c>
      <c r="D13" s="54">
        <f t="shared" si="0"/>
        <v>-948.30000000000291</v>
      </c>
    </row>
    <row r="15" spans="1:9" x14ac:dyDescent="0.25">
      <c r="A15" s="228" t="s">
        <v>226</v>
      </c>
      <c r="B15" s="231" t="s">
        <v>224</v>
      </c>
      <c r="C15" s="231" t="s">
        <v>235</v>
      </c>
      <c r="D15" s="231" t="s">
        <v>225</v>
      </c>
    </row>
    <row r="16" spans="1:9" x14ac:dyDescent="0.25">
      <c r="A16" s="37" t="s">
        <v>120</v>
      </c>
      <c r="B16" s="1">
        <f>Sheet1!G45</f>
        <v>36960</v>
      </c>
      <c r="C16" s="233">
        <f>B16</f>
        <v>36960</v>
      </c>
      <c r="D16" s="1">
        <f>B16-C16</f>
        <v>0</v>
      </c>
    </row>
    <row r="17" spans="1:5" x14ac:dyDescent="0.25">
      <c r="A17" s="37" t="s">
        <v>123</v>
      </c>
      <c r="B17" s="1">
        <f>Sheet1!G46</f>
        <v>2597.4</v>
      </c>
      <c r="C17" s="233">
        <v>0</v>
      </c>
      <c r="D17" s="1">
        <f>B17-C17</f>
        <v>2597.4</v>
      </c>
    </row>
    <row r="18" spans="1:5" x14ac:dyDescent="0.25">
      <c r="A18" s="37" t="s">
        <v>124</v>
      </c>
      <c r="B18" s="1">
        <f>Sheet1!G47</f>
        <v>3048.5</v>
      </c>
      <c r="C18" s="233">
        <f t="shared" ref="C18:C20" si="1">B18</f>
        <v>3048.5</v>
      </c>
      <c r="D18" s="1">
        <f>B18-C18</f>
        <v>0</v>
      </c>
    </row>
    <row r="19" spans="1:5" x14ac:dyDescent="0.25">
      <c r="A19" s="37" t="s">
        <v>122</v>
      </c>
      <c r="B19" s="1">
        <f>Sheet1!G48</f>
        <v>16429.399999999998</v>
      </c>
      <c r="C19" s="233">
        <v>0</v>
      </c>
      <c r="D19" s="1">
        <f>B19-C19</f>
        <v>16429.399999999998</v>
      </c>
    </row>
    <row r="20" spans="1:5" ht="15.75" thickBot="1" x14ac:dyDescent="0.3">
      <c r="A20" s="37" t="s">
        <v>121</v>
      </c>
      <c r="B20" s="222">
        <f>Sheet1!G49</f>
        <v>6175</v>
      </c>
      <c r="C20" s="234">
        <f t="shared" si="1"/>
        <v>6175</v>
      </c>
      <c r="D20" s="222">
        <f>B20-C20</f>
        <v>0</v>
      </c>
    </row>
    <row r="21" spans="1:5" x14ac:dyDescent="0.25">
      <c r="B21" s="54">
        <f>SUM(B16:B20)</f>
        <v>65210.3</v>
      </c>
      <c r="C21" s="224">
        <f>SUM(C16:C20)</f>
        <v>46183.5</v>
      </c>
      <c r="D21" s="54">
        <f>B21-C21</f>
        <v>19026.800000000003</v>
      </c>
      <c r="E21" s="1"/>
    </row>
    <row r="23" spans="1:5" x14ac:dyDescent="0.25">
      <c r="A23" s="228" t="s">
        <v>227</v>
      </c>
      <c r="B23" s="231" t="s">
        <v>224</v>
      </c>
      <c r="C23" s="231" t="s">
        <v>235</v>
      </c>
      <c r="D23" s="231" t="s">
        <v>225</v>
      </c>
    </row>
    <row r="24" spans="1:5" x14ac:dyDescent="0.25">
      <c r="A24" s="37" t="s">
        <v>112</v>
      </c>
      <c r="B24" s="1">
        <f>Sheet1!G22</f>
        <v>4500</v>
      </c>
      <c r="C24" s="233">
        <f>B24</f>
        <v>4500</v>
      </c>
      <c r="D24" s="1">
        <f>B24-C24</f>
        <v>0</v>
      </c>
    </row>
    <row r="25" spans="1:5" x14ac:dyDescent="0.25">
      <c r="A25" s="37" t="s">
        <v>176</v>
      </c>
      <c r="B25" s="1">
        <f>Sheet1!G117</f>
        <v>1460</v>
      </c>
      <c r="C25" s="233">
        <f>B25</f>
        <v>1460</v>
      </c>
      <c r="D25" s="1">
        <f t="shared" ref="D25:D30" si="2">B25-C25</f>
        <v>0</v>
      </c>
    </row>
    <row r="26" spans="1:5" x14ac:dyDescent="0.25">
      <c r="A26" s="37" t="s">
        <v>145</v>
      </c>
      <c r="B26" s="1">
        <f>Sheet1!G118</f>
        <v>21300</v>
      </c>
      <c r="C26" s="233">
        <v>0</v>
      </c>
      <c r="D26" s="1">
        <f t="shared" si="2"/>
        <v>21300</v>
      </c>
    </row>
    <row r="27" spans="1:5" x14ac:dyDescent="0.25">
      <c r="A27" s="37" t="s">
        <v>64</v>
      </c>
      <c r="B27" s="1">
        <f>Sheet1!G119</f>
        <v>12187.5</v>
      </c>
      <c r="C27" s="233">
        <v>0</v>
      </c>
      <c r="D27" s="1">
        <f t="shared" si="2"/>
        <v>12187.5</v>
      </c>
    </row>
    <row r="28" spans="1:5" x14ac:dyDescent="0.25">
      <c r="A28" s="37" t="s">
        <v>27</v>
      </c>
      <c r="B28" s="1">
        <f>Sheet1!G120</f>
        <v>1674</v>
      </c>
      <c r="C28" s="233">
        <f t="shared" ref="C25:C29" si="3">B28</f>
        <v>1674</v>
      </c>
      <c r="D28" s="1">
        <f t="shared" si="2"/>
        <v>0</v>
      </c>
    </row>
    <row r="29" spans="1:5" ht="15.75" thickBot="1" x14ac:dyDescent="0.3">
      <c r="A29" s="225" t="str">
        <f>Sheet1!B121</f>
        <v>Other Work</v>
      </c>
      <c r="B29" s="226">
        <f>Sheet1!D121</f>
        <v>0</v>
      </c>
      <c r="C29" s="234">
        <f t="shared" si="3"/>
        <v>0</v>
      </c>
      <c r="D29" s="222">
        <f t="shared" si="2"/>
        <v>0</v>
      </c>
    </row>
    <row r="30" spans="1:5" x14ac:dyDescent="0.25">
      <c r="B30" s="54">
        <f>SUM(B24:B29)</f>
        <v>41121.5</v>
      </c>
      <c r="C30" s="223">
        <f>SUM(C24:C29)</f>
        <v>7634</v>
      </c>
      <c r="D30" s="54">
        <f t="shared" si="2"/>
        <v>33487.5</v>
      </c>
    </row>
    <row r="32" spans="1:5" x14ac:dyDescent="0.25">
      <c r="A32" s="228" t="s">
        <v>228</v>
      </c>
      <c r="B32" s="231" t="s">
        <v>224</v>
      </c>
      <c r="C32" s="231" t="s">
        <v>235</v>
      </c>
      <c r="D32" s="231" t="s">
        <v>225</v>
      </c>
    </row>
    <row r="33" spans="1:7" x14ac:dyDescent="0.25">
      <c r="A33" s="37" t="s">
        <v>118</v>
      </c>
      <c r="B33" s="138">
        <f>Sheet1!G23</f>
        <v>3500</v>
      </c>
      <c r="C33" s="235">
        <f>B33</f>
        <v>3500</v>
      </c>
      <c r="D33" s="138">
        <f>B33-C33</f>
        <v>0</v>
      </c>
    </row>
    <row r="34" spans="1:7" x14ac:dyDescent="0.25">
      <c r="A34" s="124" t="s">
        <v>116</v>
      </c>
      <c r="B34" s="138">
        <f>Sheet1!G24</f>
        <v>28000</v>
      </c>
      <c r="C34" s="235">
        <v>0</v>
      </c>
      <c r="D34" s="138">
        <f t="shared" ref="D34:D39" si="4">B34-C34</f>
        <v>28000</v>
      </c>
    </row>
    <row r="35" spans="1:7" x14ac:dyDescent="0.25">
      <c r="A35" s="124" t="s">
        <v>115</v>
      </c>
      <c r="B35" s="138">
        <f>Sheet1!G25</f>
        <v>12000</v>
      </c>
      <c r="C35" s="235">
        <f t="shared" ref="C35:C39" si="5">B35</f>
        <v>12000</v>
      </c>
      <c r="D35" s="138">
        <f t="shared" si="4"/>
        <v>0</v>
      </c>
    </row>
    <row r="36" spans="1:7" x14ac:dyDescent="0.25">
      <c r="A36" s="124" t="s">
        <v>26</v>
      </c>
      <c r="B36" s="138">
        <f>Sheet1!G106</f>
        <v>5202</v>
      </c>
      <c r="C36" s="235">
        <v>0</v>
      </c>
      <c r="D36" s="138">
        <f t="shared" si="4"/>
        <v>5202</v>
      </c>
    </row>
    <row r="37" spans="1:7" x14ac:dyDescent="0.25">
      <c r="A37" s="124" t="s">
        <v>68</v>
      </c>
      <c r="B37" s="138">
        <f>Sheet1!G107</f>
        <v>3366</v>
      </c>
      <c r="C37" s="235">
        <v>0</v>
      </c>
      <c r="D37" s="138">
        <f t="shared" si="4"/>
        <v>3366</v>
      </c>
    </row>
    <row r="38" spans="1:7" x14ac:dyDescent="0.25">
      <c r="A38" s="124" t="s">
        <v>69</v>
      </c>
      <c r="B38" s="138">
        <f>Sheet1!G108</f>
        <v>4312.5</v>
      </c>
      <c r="C38" s="235">
        <f t="shared" si="5"/>
        <v>4312.5</v>
      </c>
      <c r="D38" s="138">
        <f t="shared" si="4"/>
        <v>0</v>
      </c>
    </row>
    <row r="39" spans="1:7" ht="15.75" thickBot="1" x14ac:dyDescent="0.3">
      <c r="A39" s="124" t="s">
        <v>77</v>
      </c>
      <c r="B39" s="222">
        <f>Sheet1!G109</f>
        <v>17575</v>
      </c>
      <c r="C39" s="234">
        <f t="shared" si="5"/>
        <v>17575</v>
      </c>
      <c r="D39" s="222">
        <f t="shared" si="4"/>
        <v>0</v>
      </c>
    </row>
    <row r="40" spans="1:7" x14ac:dyDescent="0.25">
      <c r="B40" s="229">
        <f>SUM(B33:B39)</f>
        <v>73955.5</v>
      </c>
      <c r="C40" s="230">
        <f>SUM(C33:C39)</f>
        <v>37387.5</v>
      </c>
      <c r="D40" s="229">
        <f>SUM(D33:D39)</f>
        <v>36568</v>
      </c>
    </row>
    <row r="41" spans="1:7" x14ac:dyDescent="0.25">
      <c r="B41" s="229"/>
      <c r="C41" s="94"/>
      <c r="D41" s="229"/>
    </row>
    <row r="42" spans="1:7" x14ac:dyDescent="0.25">
      <c r="A42" s="227" t="s">
        <v>241</v>
      </c>
      <c r="B42" s="231" t="s">
        <v>224</v>
      </c>
      <c r="C42" s="231" t="s">
        <v>235</v>
      </c>
      <c r="D42" s="231" t="s">
        <v>225</v>
      </c>
    </row>
    <row r="43" spans="1:7" x14ac:dyDescent="0.25">
      <c r="A43" s="37" t="s">
        <v>49</v>
      </c>
      <c r="B43" s="236">
        <f>Sheet1!G53</f>
        <v>4222.6469999999999</v>
      </c>
      <c r="C43" s="238">
        <f>B43</f>
        <v>4222.6469999999999</v>
      </c>
      <c r="D43" s="236">
        <f>B43-C43</f>
        <v>0</v>
      </c>
    </row>
    <row r="44" spans="1:7" x14ac:dyDescent="0.25">
      <c r="A44" s="37" t="s">
        <v>126</v>
      </c>
      <c r="B44" s="236">
        <f>Sheet1!G54</f>
        <v>26904.199999999997</v>
      </c>
      <c r="C44" s="238">
        <v>0</v>
      </c>
      <c r="D44" s="236">
        <f t="shared" ref="D44:D47" si="6">B44-C44</f>
        <v>26904.199999999997</v>
      </c>
    </row>
    <row r="45" spans="1:7" x14ac:dyDescent="0.25">
      <c r="A45" s="37" t="s">
        <v>174</v>
      </c>
      <c r="B45" s="236">
        <f>Sheet1!G55</f>
        <v>7315.3175999999985</v>
      </c>
      <c r="C45" s="238">
        <v>0</v>
      </c>
      <c r="D45" s="236">
        <f t="shared" si="6"/>
        <v>7315.3175999999985</v>
      </c>
    </row>
    <row r="46" spans="1:7" ht="15.75" thickBot="1" x14ac:dyDescent="0.3">
      <c r="A46" s="37" t="s">
        <v>48</v>
      </c>
      <c r="B46" s="237">
        <f>Sheet1!G68</f>
        <v>5387.3625000000002</v>
      </c>
      <c r="C46" s="239">
        <f t="shared" ref="C46" si="7">B46</f>
        <v>5387.3625000000002</v>
      </c>
      <c r="D46" s="237">
        <f t="shared" si="6"/>
        <v>0</v>
      </c>
    </row>
    <row r="47" spans="1:7" x14ac:dyDescent="0.25">
      <c r="A47" s="37"/>
      <c r="B47" s="229">
        <f>SUM(B43:B46)</f>
        <v>43829.527099999999</v>
      </c>
      <c r="C47" s="230">
        <f>SUM(C43:C46)</f>
        <v>9610.0095000000001</v>
      </c>
      <c r="D47" s="229">
        <f>SUM(D43:D46)</f>
        <v>34219.517599999992</v>
      </c>
    </row>
    <row r="48" spans="1:7" x14ac:dyDescent="0.25">
      <c r="E48" s="37"/>
      <c r="F48" s="37"/>
      <c r="G48" s="37"/>
    </row>
    <row r="49" spans="1:7" x14ac:dyDescent="0.25">
      <c r="A49" s="228" t="s">
        <v>229</v>
      </c>
      <c r="B49" s="231" t="s">
        <v>224</v>
      </c>
      <c r="C49" s="231" t="s">
        <v>235</v>
      </c>
      <c r="D49" s="231" t="s">
        <v>225</v>
      </c>
      <c r="E49" s="37"/>
      <c r="F49" s="37"/>
      <c r="G49" s="37"/>
    </row>
    <row r="50" spans="1:7" x14ac:dyDescent="0.25">
      <c r="A50" s="37" t="s">
        <v>137</v>
      </c>
      <c r="B50" s="1">
        <f>Sheet1!G63</f>
        <v>8366.5499999999993</v>
      </c>
      <c r="C50" s="233">
        <v>0</v>
      </c>
      <c r="D50" s="1">
        <f>B50-C50</f>
        <v>8366.5499999999993</v>
      </c>
      <c r="E50" s="37"/>
      <c r="F50" s="37"/>
      <c r="G50" s="37"/>
    </row>
    <row r="51" spans="1:7" x14ac:dyDescent="0.25">
      <c r="A51" s="37" t="s">
        <v>59</v>
      </c>
      <c r="B51" s="1">
        <f>Sheet1!G64</f>
        <v>7413.25</v>
      </c>
      <c r="C51" s="233">
        <v>0</v>
      </c>
      <c r="D51" s="1">
        <f t="shared" ref="D51:D54" si="8">B51-C51</f>
        <v>7413.25</v>
      </c>
    </row>
    <row r="52" spans="1:7" x14ac:dyDescent="0.25">
      <c r="A52" s="37" t="s">
        <v>86</v>
      </c>
      <c r="B52" s="1">
        <f>Sheet1!G65</f>
        <v>7108.08</v>
      </c>
      <c r="C52" s="233">
        <f t="shared" ref="C52:C53" si="9">B52</f>
        <v>7108.08</v>
      </c>
      <c r="D52" s="1">
        <f t="shared" si="8"/>
        <v>0</v>
      </c>
    </row>
    <row r="53" spans="1:7" x14ac:dyDescent="0.25">
      <c r="A53" s="37" t="s">
        <v>60</v>
      </c>
      <c r="B53" s="1">
        <f>Sheet1!G66</f>
        <v>6092.6399999999994</v>
      </c>
      <c r="C53" s="233">
        <f t="shared" si="9"/>
        <v>6092.6399999999994</v>
      </c>
      <c r="D53" s="1">
        <f t="shared" si="8"/>
        <v>0</v>
      </c>
    </row>
    <row r="54" spans="1:7" ht="15.75" thickBot="1" x14ac:dyDescent="0.3">
      <c r="A54" s="37" t="s">
        <v>61</v>
      </c>
      <c r="B54" s="222">
        <f>Sheet1!G67</f>
        <v>2062.5</v>
      </c>
      <c r="C54" s="234">
        <v>0</v>
      </c>
      <c r="D54" s="222">
        <f t="shared" si="8"/>
        <v>2062.5</v>
      </c>
    </row>
    <row r="55" spans="1:7" x14ac:dyDescent="0.25">
      <c r="B55" s="54">
        <f>SUM(B50:B54)</f>
        <v>31043.019999999997</v>
      </c>
      <c r="C55" s="223">
        <f>SUM(C50:C54)</f>
        <v>13200.72</v>
      </c>
      <c r="D55" s="54">
        <f>SUM(D50:D54)</f>
        <v>17842.3</v>
      </c>
    </row>
    <row r="57" spans="1:7" x14ac:dyDescent="0.25">
      <c r="A57" s="228" t="s">
        <v>230</v>
      </c>
      <c r="B57" s="231" t="s">
        <v>224</v>
      </c>
      <c r="C57" s="231" t="s">
        <v>235</v>
      </c>
      <c r="D57" s="231" t="s">
        <v>225</v>
      </c>
    </row>
    <row r="58" spans="1:7" x14ac:dyDescent="0.25">
      <c r="A58" s="37" t="s">
        <v>53</v>
      </c>
      <c r="B58" s="1">
        <f>Sheet1!$G$72</f>
        <v>2769.5</v>
      </c>
      <c r="C58" s="246">
        <v>0</v>
      </c>
      <c r="D58" s="1">
        <f>B58-C58</f>
        <v>2769.5</v>
      </c>
    </row>
    <row r="59" spans="1:7" x14ac:dyDescent="0.25">
      <c r="A59" s="37" t="s">
        <v>55</v>
      </c>
      <c r="B59" s="1">
        <f>Sheet1!$G$73</f>
        <v>1792</v>
      </c>
      <c r="C59" s="246">
        <v>0</v>
      </c>
      <c r="D59" s="1">
        <f t="shared" ref="D59:D62" si="10">B59-C59</f>
        <v>1792</v>
      </c>
    </row>
    <row r="60" spans="1:7" x14ac:dyDescent="0.25">
      <c r="A60" s="37" t="s">
        <v>57</v>
      </c>
      <c r="B60" s="1">
        <f>Sheet1!$G$75</f>
        <v>825</v>
      </c>
      <c r="C60" s="246">
        <v>0</v>
      </c>
      <c r="D60" s="1">
        <f t="shared" si="10"/>
        <v>825</v>
      </c>
    </row>
    <row r="61" spans="1:7" x14ac:dyDescent="0.25">
      <c r="A61" s="37" t="s">
        <v>234</v>
      </c>
      <c r="B61" s="1">
        <f>Sheet1!$G$77</f>
        <v>875</v>
      </c>
      <c r="C61" s="246">
        <f t="shared" ref="C61:C62" si="11">B61</f>
        <v>875</v>
      </c>
      <c r="D61" s="1">
        <f t="shared" si="10"/>
        <v>0</v>
      </c>
    </row>
    <row r="62" spans="1:7" ht="15.75" thickBot="1" x14ac:dyDescent="0.3">
      <c r="A62" s="37" t="s">
        <v>62</v>
      </c>
      <c r="B62" s="222">
        <f>Sheet1!$G$83</f>
        <v>1687.5</v>
      </c>
      <c r="C62" s="249">
        <f t="shared" si="11"/>
        <v>1687.5</v>
      </c>
      <c r="D62" s="222">
        <f t="shared" si="10"/>
        <v>0</v>
      </c>
    </row>
    <row r="63" spans="1:7" x14ac:dyDescent="0.25">
      <c r="B63" s="54">
        <f>SUM(B58:B62)</f>
        <v>7949</v>
      </c>
      <c r="C63" s="224">
        <f>SUM(C58:C62)</f>
        <v>2562.5</v>
      </c>
      <c r="D63" s="54">
        <f>SUM(D58:D62)</f>
        <v>5386.5</v>
      </c>
    </row>
    <row r="65" spans="1:5" x14ac:dyDescent="0.25">
      <c r="A65" s="228" t="s">
        <v>236</v>
      </c>
      <c r="B65" s="231" t="s">
        <v>224</v>
      </c>
      <c r="C65" s="231" t="s">
        <v>235</v>
      </c>
      <c r="D65" s="231" t="s">
        <v>225</v>
      </c>
    </row>
    <row r="66" spans="1:5" x14ac:dyDescent="0.25">
      <c r="A66" s="37" t="s">
        <v>175</v>
      </c>
      <c r="B66" s="1">
        <f>Sheet1!G79</f>
        <v>13984</v>
      </c>
      <c r="C66" s="246">
        <v>0</v>
      </c>
      <c r="D66" s="1">
        <f>B66-C66</f>
        <v>13984</v>
      </c>
    </row>
    <row r="67" spans="1:5" x14ac:dyDescent="0.25">
      <c r="A67" s="37" t="s">
        <v>144</v>
      </c>
      <c r="B67" s="1">
        <f>Sheet1!G80</f>
        <v>5544</v>
      </c>
      <c r="C67" s="246">
        <v>5344</v>
      </c>
      <c r="D67" s="1">
        <f t="shared" ref="D67:D69" si="12">B67-C67</f>
        <v>200</v>
      </c>
    </row>
    <row r="68" spans="1:5" x14ac:dyDescent="0.25">
      <c r="A68" s="135" t="str">
        <f>Sheet1!B93</f>
        <v>Builtin cabinets</v>
      </c>
      <c r="B68" s="1">
        <f>Sheet1!G93</f>
        <v>3100</v>
      </c>
      <c r="C68" s="246">
        <f t="shared" ref="C68" si="13">B68</f>
        <v>3100</v>
      </c>
      <c r="D68" s="1">
        <f t="shared" si="12"/>
        <v>0</v>
      </c>
    </row>
    <row r="69" spans="1:5" ht="15.75" thickBot="1" x14ac:dyDescent="0.3">
      <c r="A69" s="37" t="s">
        <v>30</v>
      </c>
      <c r="B69" s="222">
        <f>Sheet1!G81</f>
        <v>9230</v>
      </c>
      <c r="C69" s="249">
        <v>0</v>
      </c>
      <c r="D69" s="222">
        <f t="shared" si="12"/>
        <v>9230</v>
      </c>
    </row>
    <row r="70" spans="1:5" x14ac:dyDescent="0.25">
      <c r="B70" s="54">
        <f>SUM(B66:B69)</f>
        <v>31858</v>
      </c>
      <c r="C70" s="224">
        <f>SUM(C66:C69)</f>
        <v>8444</v>
      </c>
      <c r="D70" s="54">
        <f>SUM(D66:D69)</f>
        <v>23414</v>
      </c>
      <c r="E70" s="1"/>
    </row>
    <row r="72" spans="1:5" x14ac:dyDescent="0.25">
      <c r="B72" s="231"/>
      <c r="C72" s="250" t="s">
        <v>250</v>
      </c>
      <c r="D72" s="244" t="s">
        <v>245</v>
      </c>
    </row>
    <row r="73" spans="1:5" x14ac:dyDescent="0.25">
      <c r="A73" s="241" t="s">
        <v>249</v>
      </c>
      <c r="B73" s="54">
        <f>B70+B63+B55+B47+B40+B30+B21+B13</f>
        <v>405354.54710000003</v>
      </c>
      <c r="C73" s="109">
        <f>C70+C63+C55+C47+C40+C30+C21+C13</f>
        <v>236358.22950000002</v>
      </c>
      <c r="D73" s="251">
        <f>D70+D63+D55+D47+D40+D30+D21+D13</f>
        <v>168996.31760000001</v>
      </c>
    </row>
    <row r="74" spans="1:5" x14ac:dyDescent="0.25">
      <c r="A74" s="241"/>
      <c r="B74" s="54"/>
      <c r="C74" s="54"/>
      <c r="D74" s="252" t="s">
        <v>251</v>
      </c>
    </row>
    <row r="75" spans="1:5" x14ac:dyDescent="0.25">
      <c r="A75" s="242" t="s">
        <v>243</v>
      </c>
      <c r="B75" s="243">
        <f>Sheet1!H137</f>
        <v>831688.14797042846</v>
      </c>
      <c r="C75" s="245" t="s">
        <v>246</v>
      </c>
    </row>
    <row r="76" spans="1:5" x14ac:dyDescent="0.25">
      <c r="A76" s="240" t="s">
        <v>244</v>
      </c>
      <c r="B76" s="54">
        <f>B75-B73</f>
        <v>426333.60087042843</v>
      </c>
      <c r="C76" s="247">
        <v>436500</v>
      </c>
      <c r="D76" s="1">
        <f>B76-C76</f>
        <v>-10166.399129571568</v>
      </c>
    </row>
    <row r="77" spans="1:5" ht="15.75" thickBot="1" x14ac:dyDescent="0.3">
      <c r="A77" s="240" t="s">
        <v>247</v>
      </c>
      <c r="C77" s="1">
        <f>C73+C76</f>
        <v>672858.22950000002</v>
      </c>
      <c r="D77" s="1"/>
    </row>
    <row r="78" spans="1:5" ht="15.75" thickBot="1" x14ac:dyDescent="0.3">
      <c r="A78" s="240" t="s">
        <v>248</v>
      </c>
      <c r="C78" s="248">
        <f>B75-C77</f>
        <v>158829.91847042844</v>
      </c>
      <c r="D78" s="1"/>
    </row>
  </sheetData>
  <sheetProtection password="DBB5" sheet="1" objects="1" scenarios="1"/>
  <conditionalFormatting sqref="D8:D41 D43:D70">
    <cfRule type="cellIs" dxfId="4" priority="5" operator="lessThan">
      <formula>0</formula>
    </cfRule>
  </conditionalFormatting>
  <conditionalFormatting sqref="D42">
    <cfRule type="cellIs" dxfId="3" priority="4" operator="lessThan">
      <formula>0</formula>
    </cfRule>
  </conditionalFormatting>
  <conditionalFormatting sqref="D73:D78">
    <cfRule type="cellIs" dxfId="2" priority="3" operator="lessThan">
      <formula>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Greg</cp:lastModifiedBy>
  <cp:lastPrinted>2021-08-25T18:36:06Z</cp:lastPrinted>
  <dcterms:created xsi:type="dcterms:W3CDTF">2020-03-03T15:45:27Z</dcterms:created>
  <dcterms:modified xsi:type="dcterms:W3CDTF">2021-08-28T14:46:06Z</dcterms:modified>
</cp:coreProperties>
</file>