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9875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58" i="1" l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1" i="1"/>
  <c r="Q52" i="1"/>
  <c r="Q53" i="1"/>
  <c r="Q54" i="1"/>
  <c r="Q55" i="1"/>
  <c r="Q56" i="1"/>
  <c r="Q57" i="1"/>
  <c r="Q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1" i="1"/>
  <c r="P52" i="1"/>
  <c r="P53" i="1"/>
  <c r="P54" i="1"/>
  <c r="P55" i="1"/>
  <c r="P56" i="1"/>
  <c r="P57" i="1"/>
  <c r="P14" i="1"/>
  <c r="M17" i="1"/>
  <c r="K17" i="1"/>
  <c r="I17" i="1"/>
  <c r="I16" i="1"/>
  <c r="I36" i="1"/>
  <c r="L20" i="1"/>
  <c r="L28" i="1"/>
  <c r="K18" i="1"/>
  <c r="M18" i="1" s="1"/>
  <c r="L26" i="1"/>
  <c r="J39" i="1"/>
  <c r="I39" i="1"/>
  <c r="I41" i="1"/>
  <c r="L55" i="1"/>
  <c r="M55" i="1" s="1"/>
  <c r="L54" i="1"/>
  <c r="I30" i="1"/>
  <c r="M15" i="1"/>
  <c r="M26" i="1"/>
  <c r="M32" i="1"/>
  <c r="M47" i="1"/>
  <c r="M48" i="1"/>
  <c r="M14" i="1"/>
  <c r="L56" i="1"/>
  <c r="M56" i="1" s="1"/>
  <c r="J25" i="1"/>
  <c r="I25" i="1"/>
  <c r="M25" i="1" s="1"/>
  <c r="L46" i="1"/>
  <c r="M46" i="1" s="1"/>
  <c r="I34" i="1"/>
  <c r="J34" i="1"/>
  <c r="J33" i="1"/>
  <c r="J35" i="1"/>
  <c r="I35" i="1"/>
  <c r="I33" i="1"/>
  <c r="L45" i="1"/>
  <c r="M45" i="1" s="1"/>
  <c r="J41" i="1"/>
  <c r="J40" i="1"/>
  <c r="I40" i="1"/>
  <c r="J36" i="1"/>
  <c r="L27" i="1"/>
  <c r="M27" i="1" s="1"/>
  <c r="I24" i="1"/>
  <c r="M24" i="1" s="1"/>
  <c r="J24" i="1"/>
  <c r="J23" i="1"/>
  <c r="I23" i="1"/>
  <c r="L22" i="1"/>
  <c r="M22" i="1" s="1"/>
  <c r="J22" i="1"/>
  <c r="K21" i="1"/>
  <c r="L21" i="1"/>
  <c r="J21" i="1"/>
  <c r="I21" i="1"/>
  <c r="L31" i="1"/>
  <c r="M31" i="1" s="1"/>
  <c r="J30" i="1"/>
  <c r="I29" i="1"/>
  <c r="M29" i="1" s="1"/>
  <c r="B12" i="1"/>
  <c r="J49" i="1" s="1"/>
  <c r="K19" i="1"/>
  <c r="K58" i="1" s="1"/>
  <c r="J19" i="1"/>
  <c r="I19" i="1"/>
  <c r="K16" i="1"/>
  <c r="M33" i="1" l="1"/>
  <c r="M41" i="1"/>
  <c r="M19" i="1"/>
  <c r="J43" i="1"/>
  <c r="J38" i="1"/>
  <c r="I37" i="1"/>
  <c r="J52" i="1"/>
  <c r="I42" i="1"/>
  <c r="L44" i="1"/>
  <c r="L58" i="1" s="1"/>
  <c r="I53" i="1"/>
  <c r="J42" i="1"/>
  <c r="I43" i="1"/>
  <c r="M43" i="1" s="1"/>
  <c r="J53" i="1"/>
  <c r="I38" i="1"/>
  <c r="I52" i="1"/>
  <c r="M52" i="1" s="1"/>
  <c r="M21" i="1"/>
  <c r="M23" i="1"/>
  <c r="M36" i="1"/>
  <c r="M34" i="1"/>
  <c r="M39" i="1"/>
  <c r="M35" i="1"/>
  <c r="M16" i="1"/>
  <c r="M40" i="1"/>
  <c r="M30" i="1"/>
  <c r="M28" i="1"/>
  <c r="M20" i="1"/>
  <c r="M54" i="1"/>
  <c r="I49" i="1"/>
  <c r="M49" i="1" s="1"/>
  <c r="J37" i="1"/>
  <c r="M44" i="1" l="1"/>
  <c r="J58" i="1"/>
  <c r="M42" i="1"/>
  <c r="M38" i="1"/>
  <c r="I58" i="1"/>
  <c r="M37" i="1"/>
  <c r="M53" i="1"/>
  <c r="M60" i="1" l="1"/>
  <c r="M61" i="1" s="1"/>
  <c r="M62" i="1" l="1"/>
  <c r="M64" i="1" s="1"/>
</calcChain>
</file>

<file path=xl/comments1.xml><?xml version="1.0" encoding="utf-8"?>
<comments xmlns="http://schemas.openxmlformats.org/spreadsheetml/2006/main">
  <authors>
    <author>Greg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Fill in all Green cells, where "0" = No and "1" yes, or fill in quantity amount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 xml:space="preserve">Enter the bathroom floor size  length X width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these cells if only having a shower and no bath tub, or if you want BOTH a tub and a totally separate shower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Enter the shower floor pan size, wall high is assumed 8' high.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 xml:space="preserve">This price does not include tile work or shower door, see separate line item for these items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Note: The term Dry-Pack is for a full concrete type/tiled floor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Note: a typical vanity bank of drawers is e drawers high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Note: Select under mount sink only if you selected stone vanity top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If you plan to keep the existing tub, then set both cells to "0", also if selecting a built-in tub option, do not also select a free-standing tub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Only select this tub if you want a free standing tub, such as a claw foot tube etc., and if selecting this tub then set both the built-in tub cells to "0"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This is for fan unit only and assumes venting and wiring is already present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If re-using the existing toilet then set both cells to "0"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Only select if the custom shower option was selected, if standard tub was selected above then set both cells to "0"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Only fill in this glass door option if you selected built-in tub option above, set both cells to "0" if using a curtain rod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<sst xmlns="http://schemas.openxmlformats.org/spreadsheetml/2006/main" count="159" uniqueCount="145">
  <si>
    <t>Standard cab</t>
  </si>
  <si>
    <t>Flush mount</t>
  </si>
  <si>
    <t xml:space="preserve">          Length of vanity</t>
  </si>
  <si>
    <t>Soaker tub</t>
  </si>
  <si>
    <t xml:space="preserve">    Separate custom shower</t>
  </si>
  <si>
    <t xml:space="preserve">             Yes = 1 no = 0</t>
  </si>
  <si>
    <t xml:space="preserve">  Enter feet &amp; decimal inch</t>
  </si>
  <si>
    <t xml:space="preserve">             Bath room size</t>
  </si>
  <si>
    <t>Basic</t>
  </si>
  <si>
    <t>Upgraded</t>
  </si>
  <si>
    <t>upgraded</t>
  </si>
  <si>
    <t xml:space="preserve">        New bath ceiling fan</t>
  </si>
  <si>
    <t>Under mount</t>
  </si>
  <si>
    <t>Standard tub</t>
  </si>
  <si>
    <t>Upgrade cab</t>
  </si>
  <si>
    <t xml:space="preserve">                  New toilet</t>
  </si>
  <si>
    <t>Tile</t>
  </si>
  <si>
    <t>Linoleum</t>
  </si>
  <si>
    <t xml:space="preserve">               Flooring type</t>
  </si>
  <si>
    <t xml:space="preserve">           # of Vanity sinks</t>
  </si>
  <si>
    <t xml:space="preserve">standard </t>
  </si>
  <si>
    <t xml:space="preserve">       Number of drawers</t>
  </si>
  <si>
    <t>Standard</t>
  </si>
  <si>
    <t xml:space="preserve">         Bath tub "built-in" 5'</t>
  </si>
  <si>
    <t xml:space="preserve">       Bath tub free standing</t>
  </si>
  <si>
    <t xml:space="preserve">       Tub/shower wall tile</t>
  </si>
  <si>
    <t>Picture frame</t>
  </si>
  <si>
    <t>Full length</t>
  </si>
  <si>
    <t>Box store</t>
  </si>
  <si>
    <t>Custom</t>
  </si>
  <si>
    <t xml:space="preserve">           Tub/shower door</t>
  </si>
  <si>
    <t xml:space="preserve">                Vanity mirror</t>
  </si>
  <si>
    <t xml:space="preserve">                Shower door </t>
  </si>
  <si>
    <t>Dry-pack T</t>
  </si>
  <si>
    <t xml:space="preserve">         Type of vanity top</t>
  </si>
  <si>
    <t>Laminate</t>
  </si>
  <si>
    <t>Stone</t>
  </si>
  <si>
    <t>New trim</t>
  </si>
  <si>
    <t xml:space="preserve">New </t>
  </si>
  <si>
    <t xml:space="preserve">Passage </t>
  </si>
  <si>
    <t>Door</t>
  </si>
  <si>
    <t>Trim</t>
  </si>
  <si>
    <t>Base board</t>
  </si>
  <si>
    <t xml:space="preserve">Bath </t>
  </si>
  <si>
    <t>Gut to</t>
  </si>
  <si>
    <t>Bath Room</t>
  </si>
  <si>
    <t>Heated</t>
  </si>
  <si>
    <t>Elect</t>
  </si>
  <si>
    <t>Floor</t>
  </si>
  <si>
    <t>Studs</t>
  </si>
  <si>
    <t xml:space="preserve"> Tub/shower fixture control </t>
  </si>
  <si>
    <t>Vanity top</t>
  </si>
  <si>
    <t>Tub / shower wall tile Labour &amp; Mat</t>
  </si>
  <si>
    <t>Bath room flooring Labour &amp; material</t>
  </si>
  <si>
    <t>Heated floor option</t>
  </si>
  <si>
    <t>Base boards &amp; trim</t>
  </si>
  <si>
    <t>New Bath fan</t>
  </si>
  <si>
    <t>General electrical Parts * Labour</t>
  </si>
  <si>
    <t xml:space="preserve">General plumbing Parts &amp; Labour </t>
  </si>
  <si>
    <t>Shower door glass</t>
  </si>
  <si>
    <t>Bath hardware paper holder / towel bar</t>
  </si>
  <si>
    <t>GFI plug</t>
  </si>
  <si>
    <t>Add</t>
  </si>
  <si>
    <t>light</t>
  </si>
  <si>
    <t>over tub</t>
  </si>
  <si>
    <t>Heat</t>
  </si>
  <si>
    <t>Lamp</t>
  </si>
  <si>
    <t>Steam</t>
  </si>
  <si>
    <t>Unit</t>
  </si>
  <si>
    <t>Change</t>
  </si>
  <si>
    <t>Light fix</t>
  </si>
  <si>
    <t xml:space="preserve">Existing </t>
  </si>
  <si>
    <t>New</t>
  </si>
  <si>
    <t>Bath Rm</t>
  </si>
  <si>
    <t>Framing</t>
  </si>
  <si>
    <t>Bath</t>
  </si>
  <si>
    <t>Rough-in</t>
  </si>
  <si>
    <t>Need to</t>
  </si>
  <si>
    <t xml:space="preserve">Break </t>
  </si>
  <si>
    <t>Concrete</t>
  </si>
  <si>
    <t>New basement bath framing</t>
  </si>
  <si>
    <t>New basement bath plumbing rough-in</t>
  </si>
  <si>
    <t>New basement bath Electrical  rough-in</t>
  </si>
  <si>
    <t>Garbage bin</t>
  </si>
  <si>
    <t>Permits</t>
  </si>
  <si>
    <t>Plans for permit app.</t>
  </si>
  <si>
    <t>Labour</t>
  </si>
  <si>
    <t>Material</t>
  </si>
  <si>
    <t xml:space="preserve">Totals </t>
  </si>
  <si>
    <t>Other</t>
  </si>
  <si>
    <t>New Basement bathroom opt.</t>
  </si>
  <si>
    <t>Change out existing 5' tub</t>
  </si>
  <si>
    <t>Floor area</t>
  </si>
  <si>
    <t>Vanity top sink cut-out</t>
  </si>
  <si>
    <t>Lab &amp; mat</t>
  </si>
  <si>
    <t>Shower base Lab &amp; Mat no rough-in</t>
  </si>
  <si>
    <t>New Vanity Lab &amp; Mat no top</t>
  </si>
  <si>
    <t>Vanity drawers</t>
  </si>
  <si>
    <t>Paint</t>
  </si>
  <si>
    <t>Drywall work (existing bathroom)</t>
  </si>
  <si>
    <t>Heat Lamp</t>
  </si>
  <si>
    <t>Add new light over tub/shower</t>
  </si>
  <si>
    <t xml:space="preserve">Add steam unit to shower </t>
  </si>
  <si>
    <t>If adding a New Basement Bathroom</t>
  </si>
  <si>
    <t>New Toilet</t>
  </si>
  <si>
    <t>Tub/ shower glass door</t>
  </si>
  <si>
    <t>Shower curtain rod only</t>
  </si>
  <si>
    <t>New basement bath Drywall &amp; tape</t>
  </si>
  <si>
    <t xml:space="preserve">                    Builders fee</t>
  </si>
  <si>
    <t xml:space="preserve">Total hard Est. cost </t>
  </si>
  <si>
    <t xml:space="preserve">     Separate shower fl. Size</t>
  </si>
  <si>
    <t xml:space="preserve">   Enter feet &amp; decimal inch</t>
  </si>
  <si>
    <t>Paint room trim &amp; wall Labour &amp; Mat</t>
  </si>
  <si>
    <t xml:space="preserve">Total Job Est. cost </t>
  </si>
  <si>
    <t xml:space="preserve">NOTE: FILL IN GREEN CELLS </t>
  </si>
  <si>
    <t>Cost per sq. ft.</t>
  </si>
  <si>
    <r>
      <rPr>
        <sz val="24"/>
        <color theme="0"/>
        <rFont val="Arial Black"/>
        <family val="2"/>
      </rPr>
      <t>LANDEN</t>
    </r>
    <r>
      <rPr>
        <sz val="24"/>
        <color theme="0"/>
        <rFont val="Calibri"/>
        <family val="2"/>
        <scheme val="minor"/>
      </rPr>
      <t xml:space="preserve">  </t>
    </r>
    <r>
      <rPr>
        <sz val="20"/>
        <color theme="0"/>
        <rFont val="Chief Blueprint"/>
      </rPr>
      <t>DESIGN BUIL</t>
    </r>
    <r>
      <rPr>
        <sz val="20"/>
        <color theme="0"/>
        <rFont val="Calibri"/>
        <family val="2"/>
        <scheme val="minor"/>
      </rPr>
      <t xml:space="preserve">D                </t>
    </r>
    <r>
      <rPr>
        <sz val="10"/>
        <color theme="0"/>
        <rFont val="Calibri"/>
        <family val="2"/>
        <scheme val="minor"/>
      </rPr>
      <t xml:space="preserve">    landendevlopment.com</t>
    </r>
  </si>
  <si>
    <t xml:space="preserve">   BASED ON 2020 DATA</t>
  </si>
  <si>
    <r>
      <t xml:space="preserve">THIS IS </t>
    </r>
    <r>
      <rPr>
        <b/>
        <sz val="14"/>
        <color rgb="FFC00000"/>
        <rFont val="Calibri"/>
        <family val="2"/>
        <scheme val="minor"/>
      </rPr>
      <t>NOT</t>
    </r>
    <r>
      <rPr>
        <sz val="14"/>
        <color rgb="FFC00000"/>
        <rFont val="Calibri"/>
        <family val="2"/>
        <scheme val="minor"/>
      </rPr>
      <t xml:space="preserve"> A QUOTE</t>
    </r>
  </si>
  <si>
    <t>PROJECT FOR: Mr &amp; Mrs</t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</si>
  <si>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This is a rough budget estimate only</t>
    </r>
  </si>
  <si>
    <t>Address:</t>
  </si>
  <si>
    <t>COPYRIGHT PROTECTED</t>
  </si>
  <si>
    <t>Demo existing bath rm. to the studs /dump fee</t>
  </si>
  <si>
    <t>Remove existing vanity, tub &amp; toilet / dump fee</t>
  </si>
  <si>
    <t xml:space="preserve">   To get a firm quote contact us to come an bid your job</t>
  </si>
  <si>
    <r>
      <t xml:space="preserve">   Phone:  </t>
    </r>
    <r>
      <rPr>
        <b/>
        <sz val="11"/>
        <color theme="1"/>
        <rFont val="Calibri"/>
        <family val="2"/>
        <scheme val="minor"/>
      </rPr>
      <t>403-619-4734</t>
    </r>
  </si>
  <si>
    <t>BATHROOM RENOVATION ROUGH BUDGET  CALC ULATOR</t>
  </si>
  <si>
    <t>Room</t>
  </si>
  <si>
    <t>Description of item /service</t>
  </si>
  <si>
    <t>New 5' Tub and Auqa board Labour &amp; mat</t>
  </si>
  <si>
    <t xml:space="preserve">New free standing tub &amp; fl,mount fixture </t>
  </si>
  <si>
    <t>New separate  Shower Lab &amp; Mat no fixture</t>
  </si>
  <si>
    <t>Separate shower fixture Lab &amp; Mat</t>
  </si>
  <si>
    <t xml:space="preserve">         Type of shower base</t>
  </si>
  <si>
    <t>Tub shower fixture Lab &amp; Mat</t>
  </si>
  <si>
    <t>Acrylic</t>
  </si>
  <si>
    <t>vanity faucets</t>
  </si>
  <si>
    <t>Vanity Mirrors</t>
  </si>
  <si>
    <t>New passage door</t>
  </si>
  <si>
    <t xml:space="preserve">               Vanity Faucets</t>
  </si>
  <si>
    <t>New basement bath concrete cutting &amp; patch</t>
  </si>
  <si>
    <t>Tub/shower curtain rod only</t>
  </si>
  <si>
    <t>Date:  ,2021</t>
  </si>
  <si>
    <t xml:space="preserve">Other custom Items NOT included above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</si>
</sst>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0"/>
      <name val="Arial Black"/>
      <family val="2"/>
    </font>
    <font>
      <sz val="20"/>
      <color theme="0"/>
      <name val="Chief Blueprint"/>
    </font>
    <font>
      <sz val="2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1B416F"/>
      <name val="Arial Black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839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2" borderId="7" xfId="0" applyFont="1" applyFill="1" applyBorder="1"/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Border="1"/>
    <xf numFmtId="0" fontId="0" fillId="2" borderId="7" xfId="0" applyFill="1" applyBorder="1"/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0" borderId="0" xfId="0" applyAlignment="1">
      <alignment horizontal="left"/>
    </xf>
    <xf numFmtId="0" fontId="0" fillId="2" borderId="13" xfId="0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5" xfId="0" applyFont="1" applyBorder="1"/>
    <xf numFmtId="0" fontId="0" fillId="0" borderId="25" xfId="0" applyBorder="1"/>
    <xf numFmtId="0" fontId="7" fillId="0" borderId="25" xfId="0" applyFont="1" applyFill="1" applyBorder="1" applyAlignment="1">
      <alignment horizontal="left"/>
    </xf>
    <xf numFmtId="0" fontId="7" fillId="0" borderId="25" xfId="0" applyFont="1" applyBorder="1"/>
    <xf numFmtId="0" fontId="2" fillId="0" borderId="25" xfId="0" applyFont="1" applyFill="1" applyBorder="1" applyAlignment="1">
      <alignment horizontal="center"/>
    </xf>
    <xf numFmtId="44" fontId="0" fillId="0" borderId="0" xfId="1" applyFont="1"/>
    <xf numFmtId="0" fontId="0" fillId="0" borderId="4" xfId="0" applyBorder="1"/>
    <xf numFmtId="0" fontId="2" fillId="0" borderId="26" xfId="0" applyFont="1" applyBorder="1"/>
    <xf numFmtId="0" fontId="2" fillId="0" borderId="27" xfId="0" applyFont="1" applyBorder="1"/>
    <xf numFmtId="0" fontId="0" fillId="2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4" fontId="0" fillId="0" borderId="0" xfId="0" applyNumberFormat="1"/>
    <xf numFmtId="0" fontId="0" fillId="0" borderId="26" xfId="0" applyBorder="1"/>
    <xf numFmtId="0" fontId="0" fillId="0" borderId="27" xfId="0" applyBorder="1"/>
    <xf numFmtId="0" fontId="0" fillId="2" borderId="29" xfId="0" applyFill="1" applyBorder="1"/>
    <xf numFmtId="9" fontId="0" fillId="0" borderId="0" xfId="1" applyNumberFormat="1" applyFont="1" applyAlignment="1">
      <alignment horizontal="left"/>
    </xf>
    <xf numFmtId="44" fontId="0" fillId="0" borderId="30" xfId="0" applyNumberFormat="1" applyBorder="1"/>
    <xf numFmtId="44" fontId="0" fillId="0" borderId="25" xfId="0" applyNumberFormat="1" applyBorder="1"/>
    <xf numFmtId="44" fontId="2" fillId="0" borderId="0" xfId="0" applyNumberFormat="1" applyFont="1"/>
    <xf numFmtId="44" fontId="2" fillId="0" borderId="0" xfId="1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0" xfId="0" applyNumberFormat="1" applyBorder="1"/>
    <xf numFmtId="44" fontId="0" fillId="0" borderId="24" xfId="1" applyFont="1" applyBorder="1"/>
    <xf numFmtId="44" fontId="8" fillId="0" borderId="0" xfId="1" applyFont="1"/>
    <xf numFmtId="0" fontId="2" fillId="2" borderId="21" xfId="0" applyFont="1" applyFill="1" applyBorder="1"/>
    <xf numFmtId="0" fontId="2" fillId="2" borderId="22" xfId="0" applyFont="1" applyFill="1" applyBorder="1"/>
    <xf numFmtId="0" fontId="0" fillId="3" borderId="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2" borderId="6" xfId="0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4" fontId="0" fillId="0" borderId="3" xfId="0" applyNumberFormat="1" applyBorder="1"/>
    <xf numFmtId="0" fontId="9" fillId="4" borderId="21" xfId="0" applyFont="1" applyFill="1" applyBorder="1"/>
    <xf numFmtId="0" fontId="0" fillId="4" borderId="31" xfId="0" applyFill="1" applyBorder="1"/>
    <xf numFmtId="0" fontId="0" fillId="4" borderId="22" xfId="0" applyFill="1" applyBorder="1"/>
    <xf numFmtId="0" fontId="14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9" fillId="0" borderId="0" xfId="0" applyFont="1" applyFill="1" applyBorder="1"/>
    <xf numFmtId="0" fontId="2" fillId="0" borderId="0" xfId="0" applyFont="1" applyFill="1" applyBorder="1"/>
    <xf numFmtId="0" fontId="14" fillId="0" borderId="0" xfId="0" applyFont="1" applyFill="1" applyBorder="1"/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44" fontId="0" fillId="2" borderId="3" xfId="0" applyNumberFormat="1" applyFill="1" applyBorder="1" applyProtection="1">
      <protection locked="0"/>
    </xf>
    <xf numFmtId="0" fontId="3" fillId="0" borderId="0" xfId="0" applyFont="1"/>
    <xf numFmtId="0" fontId="3" fillId="0" borderId="0" xfId="0" applyFont="1" applyProtection="1">
      <protection hidden="1"/>
    </xf>
    <xf numFmtId="44" fontId="3" fillId="0" borderId="0" xfId="0" applyNumberFormat="1" applyFont="1" applyProtection="1">
      <protection hidden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2" borderId="35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75088080016276E-2"/>
          <c:y val="4.5596014345324551E-2"/>
          <c:w val="0.84289319350109315"/>
          <c:h val="0.897625574543180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Sheet1!$P$14:$P$57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Sheet1!$Q$14:$Q$57</c:f>
              <c:numCache>
                <c:formatCode>_("$"* #,##0.00_);_("$"* \(#,##0.00\);_("$"* "-"??_);_(@_)</c:formatCode>
                <c:ptCount val="44"/>
                <c:pt idx="0">
                  <c:v>250</c:v>
                </c:pt>
                <c:pt idx="1">
                  <c:v>250</c:v>
                </c:pt>
                <c:pt idx="2">
                  <c:v>0</c:v>
                </c:pt>
                <c:pt idx="3">
                  <c:v>609</c:v>
                </c:pt>
                <c:pt idx="4">
                  <c:v>185</c:v>
                </c:pt>
                <c:pt idx="5">
                  <c:v>1420</c:v>
                </c:pt>
                <c:pt idx="6">
                  <c:v>450</c:v>
                </c:pt>
                <c:pt idx="7">
                  <c:v>684</c:v>
                </c:pt>
                <c:pt idx="8">
                  <c:v>0</c:v>
                </c:pt>
                <c:pt idx="9">
                  <c:v>0</c:v>
                </c:pt>
                <c:pt idx="10">
                  <c:v>565</c:v>
                </c:pt>
                <c:pt idx="11">
                  <c:v>479</c:v>
                </c:pt>
                <c:pt idx="12">
                  <c:v>742.5</c:v>
                </c:pt>
                <c:pt idx="13">
                  <c:v>328</c:v>
                </c:pt>
                <c:pt idx="14">
                  <c:v>112.5</c:v>
                </c:pt>
                <c:pt idx="15">
                  <c:v>0</c:v>
                </c:pt>
                <c:pt idx="16">
                  <c:v>180</c:v>
                </c:pt>
                <c:pt idx="17">
                  <c:v>292.5</c:v>
                </c:pt>
                <c:pt idx="18">
                  <c:v>67</c:v>
                </c:pt>
                <c:pt idx="19">
                  <c:v>0</c:v>
                </c:pt>
                <c:pt idx="20">
                  <c:v>0</c:v>
                </c:pt>
                <c:pt idx="21">
                  <c:v>160</c:v>
                </c:pt>
                <c:pt idx="22">
                  <c:v>980</c:v>
                </c:pt>
                <c:pt idx="23">
                  <c:v>498.75</c:v>
                </c:pt>
                <c:pt idx="24">
                  <c:v>0</c:v>
                </c:pt>
                <c:pt idx="25">
                  <c:v>121.8</c:v>
                </c:pt>
                <c:pt idx="26">
                  <c:v>0</c:v>
                </c:pt>
                <c:pt idx="27">
                  <c:v>163</c:v>
                </c:pt>
                <c:pt idx="28">
                  <c:v>148.36250000000001</c:v>
                </c:pt>
                <c:pt idx="29">
                  <c:v>377.625</c:v>
                </c:pt>
                <c:pt idx="30">
                  <c:v>439.375</c:v>
                </c:pt>
                <c:pt idx="31">
                  <c:v>0</c:v>
                </c:pt>
                <c:pt idx="32">
                  <c:v>854</c:v>
                </c:pt>
                <c:pt idx="33">
                  <c:v>0</c:v>
                </c:pt>
                <c:pt idx="34">
                  <c:v>105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77312"/>
        <c:axId val="136080384"/>
      </c:barChart>
      <c:catAx>
        <c:axId val="13607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080384"/>
        <c:crosses val="autoZero"/>
        <c:auto val="1"/>
        <c:lblAlgn val="ctr"/>
        <c:lblOffset val="100"/>
        <c:noMultiLvlLbl val="0"/>
      </c:catAx>
      <c:valAx>
        <c:axId val="13608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077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17859</xdr:colOff>
      <xdr:row>65</xdr:row>
      <xdr:rowOff>35719</xdr:rowOff>
    </xdr:from>
    <xdr:to>
      <xdr:col>14</xdr:col>
      <xdr:colOff>595312</xdr:colOff>
      <xdr:row>87</xdr:row>
      <xdr:rowOff>154781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88"/>
  <sheetViews>
    <sheetView tabSelected="1" zoomScale="120" zoomScaleNormal="120" workbookViewId="0">
      <pane ySplit="13" topLeftCell="A14" activePane="bottomLeft" state="frozen"/>
      <selection pane="bottomLeft" activeCell="O4" sqref="O4"/>
    </sheetView>
  </sheetViews>
  <sheetFormatPr defaultRowHeight="15" x14ac:dyDescent="0.25"/>
  <cols>
    <col min="1" max="1" width="13" customWidth="1"/>
    <col min="2" max="2" width="13.140625" customWidth="1"/>
    <col min="3" max="3" width="4.28515625" customWidth="1"/>
    <col min="4" max="4" width="10.28515625" customWidth="1"/>
    <col min="5" max="5" width="8.140625" customWidth="1"/>
    <col min="6" max="6" width="7.5703125" customWidth="1"/>
    <col min="7" max="7" width="10.42578125" customWidth="1"/>
    <col min="8" max="8" width="7.42578125" customWidth="1"/>
    <col min="9" max="10" width="12.5703125" customWidth="1"/>
    <col min="11" max="11" width="11.85546875" customWidth="1"/>
    <col min="12" max="12" width="12.140625" customWidth="1"/>
    <col min="13" max="13" width="12.28515625" customWidth="1"/>
    <col min="14" max="14" width="8.5703125" customWidth="1"/>
    <col min="16" max="16" width="1.28515625" customWidth="1"/>
    <col min="17" max="17" width="1.85546875" customWidth="1"/>
    <col min="18" max="18" width="2.140625" customWidth="1"/>
    <col min="19" max="19" width="1.5703125" customWidth="1"/>
  </cols>
  <sheetData>
    <row r="1" spans="1:29" ht="37.5" thickBot="1" x14ac:dyDescent="0.75">
      <c r="A1" s="96" t="s">
        <v>116</v>
      </c>
      <c r="B1" s="97"/>
      <c r="C1" s="97"/>
      <c r="D1" s="97"/>
      <c r="E1" s="97"/>
      <c r="F1" s="98"/>
      <c r="G1" s="6" t="s">
        <v>117</v>
      </c>
      <c r="I1" s="99"/>
      <c r="J1" s="99"/>
      <c r="K1" s="99" t="s">
        <v>118</v>
      </c>
    </row>
    <row r="2" spans="1:29" x14ac:dyDescent="0.25">
      <c r="A2" s="100" t="s">
        <v>119</v>
      </c>
      <c r="B2" s="101"/>
      <c r="C2" s="101"/>
      <c r="D2" s="101"/>
      <c r="E2" s="101"/>
      <c r="F2" s="102"/>
      <c r="G2" s="36" t="s">
        <v>120</v>
      </c>
    </row>
    <row r="3" spans="1:29" x14ac:dyDescent="0.25">
      <c r="A3" s="100" t="s">
        <v>121</v>
      </c>
      <c r="B3" s="101"/>
      <c r="C3" s="101"/>
      <c r="D3" s="101"/>
      <c r="E3" s="101"/>
      <c r="F3" s="101"/>
      <c r="G3" s="103" t="s">
        <v>125</v>
      </c>
      <c r="H3" s="103"/>
      <c r="I3" s="103"/>
      <c r="J3" s="103"/>
    </row>
    <row r="4" spans="1:29" x14ac:dyDescent="0.25">
      <c r="A4" s="6"/>
      <c r="G4" t="s">
        <v>126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31.5" x14ac:dyDescent="0.5">
      <c r="A5" s="104" t="s">
        <v>127</v>
      </c>
      <c r="B5" s="104"/>
      <c r="E5" s="105"/>
      <c r="F5" s="105"/>
      <c r="G5" s="105"/>
      <c r="H5" s="105"/>
      <c r="I5" s="105"/>
      <c r="J5" s="105" t="s">
        <v>122</v>
      </c>
      <c r="M5" t="s">
        <v>143</v>
      </c>
      <c r="Q5" s="106"/>
      <c r="R5" s="3"/>
      <c r="S5" s="3"/>
      <c r="T5" s="3"/>
      <c r="U5" s="3"/>
      <c r="V5" s="3"/>
      <c r="W5" s="107"/>
      <c r="X5" s="3"/>
      <c r="Y5" s="108"/>
      <c r="Z5" s="108"/>
      <c r="AA5" s="3"/>
      <c r="AB5" s="3"/>
      <c r="AC5" s="3"/>
    </row>
    <row r="6" spans="1:29" x14ac:dyDescent="0.25">
      <c r="Q6" s="109"/>
      <c r="R6" s="110"/>
      <c r="S6" s="110"/>
      <c r="T6" s="110"/>
      <c r="U6" s="110"/>
      <c r="V6" s="111"/>
      <c r="W6" s="8"/>
      <c r="X6" s="3"/>
      <c r="Y6" s="3"/>
      <c r="Z6" s="3"/>
      <c r="AA6" s="3"/>
      <c r="AB6" s="3"/>
      <c r="AC6" s="3"/>
    </row>
    <row r="7" spans="1:29" ht="15.75" thickBot="1" x14ac:dyDescent="0.3">
      <c r="C7" s="5"/>
      <c r="D7" s="5"/>
      <c r="E7" s="5"/>
      <c r="M7" t="s">
        <v>90</v>
      </c>
      <c r="Q7" s="109"/>
      <c r="R7" s="110"/>
      <c r="S7" s="110"/>
      <c r="T7" s="110"/>
      <c r="U7" s="110"/>
      <c r="V7" s="110"/>
      <c r="W7" s="112"/>
      <c r="X7" s="112"/>
      <c r="Y7" s="112"/>
      <c r="Z7" s="112"/>
      <c r="AA7" s="3"/>
      <c r="AB7" s="3"/>
      <c r="AC7" s="3"/>
    </row>
    <row r="8" spans="1:29" ht="15.75" thickBot="1" x14ac:dyDescent="0.3">
      <c r="A8" s="73" t="s">
        <v>114</v>
      </c>
      <c r="B8" s="74"/>
      <c r="C8" s="43"/>
      <c r="D8" s="45" t="s">
        <v>37</v>
      </c>
      <c r="E8" s="46" t="s">
        <v>38</v>
      </c>
      <c r="F8" s="46" t="s">
        <v>98</v>
      </c>
      <c r="G8" s="46" t="s">
        <v>44</v>
      </c>
      <c r="H8" s="46" t="s">
        <v>46</v>
      </c>
      <c r="I8" s="46" t="s">
        <v>62</v>
      </c>
      <c r="J8" s="46" t="s">
        <v>62</v>
      </c>
      <c r="K8" s="46" t="s">
        <v>62</v>
      </c>
      <c r="L8" s="46" t="s">
        <v>69</v>
      </c>
      <c r="M8" s="75" t="s">
        <v>72</v>
      </c>
      <c r="N8" s="76" t="s">
        <v>72</v>
      </c>
      <c r="O8" s="77" t="s">
        <v>77</v>
      </c>
      <c r="Q8" s="107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8.75" x14ac:dyDescent="0.4">
      <c r="A9" s="9" t="s">
        <v>7</v>
      </c>
      <c r="B9" s="10"/>
      <c r="C9" s="43"/>
      <c r="D9" s="4" t="s">
        <v>41</v>
      </c>
      <c r="E9" s="43" t="s">
        <v>39</v>
      </c>
      <c r="F9" s="43" t="s">
        <v>43</v>
      </c>
      <c r="G9" s="7" t="s">
        <v>49</v>
      </c>
      <c r="H9" s="7" t="s">
        <v>48</v>
      </c>
      <c r="I9" s="7" t="s">
        <v>63</v>
      </c>
      <c r="J9" s="7" t="s">
        <v>65</v>
      </c>
      <c r="K9" s="7" t="s">
        <v>67</v>
      </c>
      <c r="L9" s="7" t="s">
        <v>71</v>
      </c>
      <c r="M9" s="78" t="s">
        <v>73</v>
      </c>
      <c r="N9" s="79" t="s">
        <v>75</v>
      </c>
      <c r="O9" s="80" t="s">
        <v>78</v>
      </c>
      <c r="Q9" s="113"/>
      <c r="R9" s="113"/>
      <c r="S9" s="3"/>
      <c r="T9" s="3"/>
      <c r="U9" s="114"/>
      <c r="V9" s="3"/>
      <c r="W9" s="3"/>
      <c r="X9" s="3"/>
      <c r="Y9" s="3"/>
      <c r="Z9" s="3"/>
      <c r="AA9" s="3"/>
      <c r="AB9" s="3"/>
      <c r="AC9" s="3"/>
    </row>
    <row r="10" spans="1:29" ht="15.75" thickBot="1" x14ac:dyDescent="0.3">
      <c r="A10" s="26" t="s">
        <v>6</v>
      </c>
      <c r="B10" s="27"/>
      <c r="C10" s="43"/>
      <c r="D10" s="4" t="s">
        <v>42</v>
      </c>
      <c r="E10" s="43" t="s">
        <v>40</v>
      </c>
      <c r="F10" s="43" t="s">
        <v>128</v>
      </c>
      <c r="G10" s="7" t="s">
        <v>45</v>
      </c>
      <c r="H10" s="7" t="s">
        <v>47</v>
      </c>
      <c r="I10" s="7" t="s">
        <v>64</v>
      </c>
      <c r="J10" s="7" t="s">
        <v>66</v>
      </c>
      <c r="K10" s="7" t="s">
        <v>68</v>
      </c>
      <c r="L10" s="7" t="s">
        <v>70</v>
      </c>
      <c r="M10" s="78" t="s">
        <v>74</v>
      </c>
      <c r="N10" s="79" t="s">
        <v>76</v>
      </c>
      <c r="O10" s="80" t="s">
        <v>79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thickBot="1" x14ac:dyDescent="0.3">
      <c r="A11" s="81">
        <v>5</v>
      </c>
      <c r="B11" s="82">
        <v>9.5</v>
      </c>
      <c r="C11" s="83"/>
      <c r="D11" s="84">
        <v>1</v>
      </c>
      <c r="E11" s="84">
        <v>0</v>
      </c>
      <c r="F11" s="84">
        <v>1</v>
      </c>
      <c r="G11" s="84">
        <v>0</v>
      </c>
      <c r="H11" s="84">
        <v>0</v>
      </c>
      <c r="I11" s="84">
        <v>1</v>
      </c>
      <c r="J11" s="84">
        <v>0</v>
      </c>
      <c r="K11" s="84">
        <v>0</v>
      </c>
      <c r="L11" s="85">
        <v>1</v>
      </c>
      <c r="M11" s="84">
        <v>0</v>
      </c>
      <c r="N11" s="84">
        <v>0</v>
      </c>
      <c r="O11" s="84">
        <v>0</v>
      </c>
    </row>
    <row r="12" spans="1:29" ht="15.75" thickBot="1" x14ac:dyDescent="0.3">
      <c r="A12" s="57" t="s">
        <v>92</v>
      </c>
      <c r="B12" s="58">
        <f>A11*B11</f>
        <v>47.5</v>
      </c>
    </row>
    <row r="13" spans="1:29" ht="16.5" thickBot="1" x14ac:dyDescent="0.3">
      <c r="D13" s="49" t="s">
        <v>129</v>
      </c>
      <c r="E13" s="50"/>
      <c r="F13" s="50"/>
      <c r="G13" s="48"/>
      <c r="H13" s="48"/>
      <c r="I13" s="51" t="s">
        <v>86</v>
      </c>
      <c r="J13" s="51" t="s">
        <v>87</v>
      </c>
      <c r="K13" s="51" t="s">
        <v>89</v>
      </c>
      <c r="L13" s="51" t="s">
        <v>94</v>
      </c>
      <c r="M13" s="51" t="s">
        <v>88</v>
      </c>
      <c r="N13" s="48"/>
      <c r="O13" s="48"/>
      <c r="P13" s="116"/>
      <c r="Q13" s="116"/>
    </row>
    <row r="14" spans="1:29" ht="15.75" x14ac:dyDescent="0.25">
      <c r="A14" s="53" t="s">
        <v>91</v>
      </c>
      <c r="B14" s="16"/>
      <c r="C14">
        <v>1</v>
      </c>
      <c r="D14" s="44" t="s">
        <v>85</v>
      </c>
      <c r="I14" s="52"/>
      <c r="J14" s="52"/>
      <c r="K14" s="52">
        <v>250</v>
      </c>
      <c r="L14" s="52"/>
      <c r="M14" s="59">
        <f>I14+J14+K14+L14</f>
        <v>250</v>
      </c>
      <c r="P14" s="117">
        <f>C14</f>
        <v>1</v>
      </c>
      <c r="Q14" s="118">
        <f>M14</f>
        <v>250</v>
      </c>
    </row>
    <row r="15" spans="1:29" ht="15.75" x14ac:dyDescent="0.25">
      <c r="A15" s="54" t="s">
        <v>5</v>
      </c>
      <c r="B15" s="55"/>
      <c r="C15">
        <v>2</v>
      </c>
      <c r="D15" s="44" t="s">
        <v>84</v>
      </c>
      <c r="I15" s="52"/>
      <c r="J15" s="52"/>
      <c r="K15" s="52">
        <v>250</v>
      </c>
      <c r="L15" s="52"/>
      <c r="M15" s="59">
        <f t="shared" ref="M15:M56" si="0">I15+J15+K15+L15</f>
        <v>250</v>
      </c>
      <c r="P15" s="117">
        <f t="shared" ref="P15:P57" si="1">C15</f>
        <v>2</v>
      </c>
      <c r="Q15" s="118">
        <f t="shared" ref="Q15:Q57" si="2">M15</f>
        <v>250</v>
      </c>
    </row>
    <row r="16" spans="1:29" ht="15.75" thickBot="1" x14ac:dyDescent="0.3">
      <c r="A16" s="86">
        <v>1</v>
      </c>
      <c r="B16" s="56"/>
      <c r="C16">
        <v>3</v>
      </c>
      <c r="D16" t="s">
        <v>123</v>
      </c>
      <c r="I16" s="52">
        <f>G11*560</f>
        <v>0</v>
      </c>
      <c r="J16" s="52"/>
      <c r="K16" s="52">
        <f>G11*250</f>
        <v>0</v>
      </c>
      <c r="L16" s="52"/>
      <c r="M16" s="59">
        <f t="shared" si="0"/>
        <v>0</v>
      </c>
      <c r="P16" s="117">
        <f t="shared" si="1"/>
        <v>3</v>
      </c>
      <c r="Q16" s="118">
        <f t="shared" si="2"/>
        <v>0</v>
      </c>
    </row>
    <row r="17" spans="1:17" ht="15.75" thickBot="1" x14ac:dyDescent="0.3">
      <c r="C17">
        <v>4</v>
      </c>
      <c r="D17" t="s">
        <v>124</v>
      </c>
      <c r="I17" s="52">
        <f>355</f>
        <v>355</v>
      </c>
      <c r="J17" s="52"/>
      <c r="K17" s="52">
        <f>254</f>
        <v>254</v>
      </c>
      <c r="L17" s="52"/>
      <c r="M17" s="59">
        <f t="shared" si="0"/>
        <v>609</v>
      </c>
      <c r="P17" s="117">
        <f t="shared" si="1"/>
        <v>4</v>
      </c>
      <c r="Q17" s="118">
        <f t="shared" si="2"/>
        <v>609</v>
      </c>
    </row>
    <row r="18" spans="1:17" x14ac:dyDescent="0.25">
      <c r="A18" s="9" t="s">
        <v>4</v>
      </c>
      <c r="B18" s="10"/>
      <c r="C18">
        <v>5</v>
      </c>
      <c r="D18" t="s">
        <v>83</v>
      </c>
      <c r="I18" s="52"/>
      <c r="J18" s="52"/>
      <c r="K18" s="52">
        <f>185+(G11*350)</f>
        <v>185</v>
      </c>
      <c r="L18" s="52"/>
      <c r="M18" s="59">
        <f t="shared" si="0"/>
        <v>185</v>
      </c>
      <c r="P18" s="117">
        <f t="shared" si="1"/>
        <v>5</v>
      </c>
      <c r="Q18" s="118">
        <f t="shared" si="2"/>
        <v>185</v>
      </c>
    </row>
    <row r="19" spans="1:17" x14ac:dyDescent="0.25">
      <c r="A19" s="20" t="s">
        <v>5</v>
      </c>
      <c r="B19" s="21"/>
      <c r="C19">
        <v>6</v>
      </c>
      <c r="D19" t="s">
        <v>130</v>
      </c>
      <c r="I19" s="52">
        <f>A16*450</f>
        <v>450</v>
      </c>
      <c r="J19" s="52">
        <f>A16*825</f>
        <v>825</v>
      </c>
      <c r="K19" s="52">
        <f>A16*145</f>
        <v>145</v>
      </c>
      <c r="L19" s="52"/>
      <c r="M19" s="59">
        <f t="shared" si="0"/>
        <v>1420</v>
      </c>
      <c r="P19" s="117">
        <f t="shared" si="1"/>
        <v>6</v>
      </c>
      <c r="Q19" s="118">
        <f t="shared" si="2"/>
        <v>1420</v>
      </c>
    </row>
    <row r="20" spans="1:17" x14ac:dyDescent="0.25">
      <c r="A20" s="87">
        <v>0</v>
      </c>
      <c r="B20" s="17"/>
      <c r="C20">
        <v>7</v>
      </c>
      <c r="D20" t="s">
        <v>131</v>
      </c>
      <c r="I20" s="72"/>
      <c r="J20" s="52"/>
      <c r="K20" s="52"/>
      <c r="L20" s="72">
        <f>(A58+450)+(B58*450)</f>
        <v>450</v>
      </c>
      <c r="M20" s="59">
        <f t="shared" si="0"/>
        <v>450</v>
      </c>
      <c r="P20" s="117">
        <f t="shared" si="1"/>
        <v>7</v>
      </c>
      <c r="Q20" s="118">
        <f t="shared" si="2"/>
        <v>450</v>
      </c>
    </row>
    <row r="21" spans="1:17" x14ac:dyDescent="0.25">
      <c r="A21" s="22" t="s">
        <v>110</v>
      </c>
      <c r="B21" s="23"/>
      <c r="C21">
        <v>8</v>
      </c>
      <c r="D21" t="s">
        <v>132</v>
      </c>
      <c r="I21" s="52">
        <f>A20*255</f>
        <v>0</v>
      </c>
      <c r="J21" s="52">
        <f>A26*354</f>
        <v>0</v>
      </c>
      <c r="K21" s="52">
        <f>A20*125</f>
        <v>0</v>
      </c>
      <c r="L21" s="52">
        <f>B26*(A23*B23)*38</f>
        <v>684</v>
      </c>
      <c r="M21" s="59">
        <f t="shared" si="0"/>
        <v>684</v>
      </c>
      <c r="P21" s="117">
        <f t="shared" si="1"/>
        <v>8</v>
      </c>
      <c r="Q21" s="118">
        <f t="shared" si="2"/>
        <v>684</v>
      </c>
    </row>
    <row r="22" spans="1:17" x14ac:dyDescent="0.25">
      <c r="A22" s="24" t="s">
        <v>111</v>
      </c>
      <c r="B22" s="25"/>
      <c r="C22">
        <v>9</v>
      </c>
      <c r="D22" t="s">
        <v>95</v>
      </c>
      <c r="I22" s="52"/>
      <c r="J22" s="52">
        <f>(A26*A20)*450</f>
        <v>0</v>
      </c>
      <c r="K22" s="52"/>
      <c r="L22" s="52">
        <f>(B26*A20)*450</f>
        <v>0</v>
      </c>
      <c r="M22" s="59">
        <f t="shared" si="0"/>
        <v>0</v>
      </c>
      <c r="P22" s="117">
        <f t="shared" si="1"/>
        <v>9</v>
      </c>
      <c r="Q22" s="118">
        <f t="shared" si="2"/>
        <v>0</v>
      </c>
    </row>
    <row r="23" spans="1:17" x14ac:dyDescent="0.25">
      <c r="A23" s="88">
        <v>4</v>
      </c>
      <c r="B23" s="89">
        <v>4.5</v>
      </c>
      <c r="C23">
        <v>10</v>
      </c>
      <c r="D23" t="s">
        <v>133</v>
      </c>
      <c r="I23" s="52">
        <f>A20*180</f>
        <v>0</v>
      </c>
      <c r="J23" s="52">
        <f>(A20*A30)*146+((A20*B30)*385)</f>
        <v>0</v>
      </c>
      <c r="K23" s="52"/>
      <c r="L23" s="52"/>
      <c r="M23" s="59">
        <f t="shared" si="0"/>
        <v>0</v>
      </c>
      <c r="P23" s="117">
        <f t="shared" si="1"/>
        <v>10</v>
      </c>
      <c r="Q23" s="118">
        <f t="shared" si="2"/>
        <v>0</v>
      </c>
    </row>
    <row r="24" spans="1:17" x14ac:dyDescent="0.25">
      <c r="A24" s="12" t="s">
        <v>134</v>
      </c>
      <c r="B24" s="13"/>
      <c r="C24">
        <v>11</v>
      </c>
      <c r="D24" t="s">
        <v>135</v>
      </c>
      <c r="I24" s="52">
        <f>(A16*(B30+A30))*180</f>
        <v>180</v>
      </c>
      <c r="J24" s="52">
        <f>(A16*(A16*A30)*146)+((A16*B30)*385)</f>
        <v>385</v>
      </c>
      <c r="K24" s="52"/>
      <c r="L24" s="52"/>
      <c r="M24" s="59">
        <f t="shared" si="0"/>
        <v>565</v>
      </c>
      <c r="P24" s="117">
        <f t="shared" si="1"/>
        <v>11</v>
      </c>
      <c r="Q24" s="118">
        <f t="shared" si="2"/>
        <v>565</v>
      </c>
    </row>
    <row r="25" spans="1:17" x14ac:dyDescent="0.25">
      <c r="A25" s="14" t="s">
        <v>136</v>
      </c>
      <c r="B25" s="13" t="s">
        <v>33</v>
      </c>
      <c r="C25">
        <v>12</v>
      </c>
      <c r="D25" t="s">
        <v>104</v>
      </c>
      <c r="I25" s="52">
        <f>(A66*125)+(B66*125)</f>
        <v>125</v>
      </c>
      <c r="J25" s="52">
        <f>(A66*134)+(B66*354)</f>
        <v>354</v>
      </c>
      <c r="K25" s="52"/>
      <c r="L25" s="52"/>
      <c r="M25" s="59">
        <f t="shared" si="0"/>
        <v>479</v>
      </c>
      <c r="N25" s="59"/>
      <c r="P25" s="117">
        <f t="shared" si="1"/>
        <v>12</v>
      </c>
      <c r="Q25" s="118">
        <f t="shared" si="2"/>
        <v>479</v>
      </c>
    </row>
    <row r="26" spans="1:17" ht="15.75" thickBot="1" x14ac:dyDescent="0.3">
      <c r="A26" s="90">
        <v>0</v>
      </c>
      <c r="B26" s="91">
        <v>1</v>
      </c>
      <c r="C26">
        <v>13</v>
      </c>
      <c r="D26" t="s">
        <v>96</v>
      </c>
      <c r="I26" s="52"/>
      <c r="J26" s="52"/>
      <c r="K26" s="52"/>
      <c r="L26" s="52">
        <f>A33*165</f>
        <v>742.5</v>
      </c>
      <c r="M26" s="59">
        <f t="shared" si="0"/>
        <v>742.5</v>
      </c>
      <c r="N26" s="59"/>
      <c r="P26" s="117">
        <f t="shared" si="1"/>
        <v>13</v>
      </c>
      <c r="Q26" s="118">
        <f t="shared" si="2"/>
        <v>742.5</v>
      </c>
    </row>
    <row r="27" spans="1:17" ht="15.75" thickBot="1" x14ac:dyDescent="0.3">
      <c r="A27" s="7"/>
      <c r="B27" s="7"/>
      <c r="C27">
        <v>14</v>
      </c>
      <c r="D27" t="s">
        <v>97</v>
      </c>
      <c r="I27" s="52"/>
      <c r="J27" s="52"/>
      <c r="K27" s="52"/>
      <c r="L27" s="52">
        <f>A37*82</f>
        <v>328</v>
      </c>
      <c r="M27" s="59">
        <f t="shared" si="0"/>
        <v>328</v>
      </c>
      <c r="N27" s="59"/>
      <c r="P27" s="117">
        <f t="shared" si="1"/>
        <v>14</v>
      </c>
      <c r="Q27" s="118">
        <f t="shared" si="2"/>
        <v>328</v>
      </c>
    </row>
    <row r="28" spans="1:17" x14ac:dyDescent="0.25">
      <c r="A28" s="38" t="s">
        <v>50</v>
      </c>
      <c r="B28" s="39"/>
      <c r="C28">
        <v>15</v>
      </c>
      <c r="D28" t="s">
        <v>51</v>
      </c>
      <c r="I28" s="72"/>
      <c r="J28" s="52"/>
      <c r="K28" s="52"/>
      <c r="L28" s="72">
        <f>((A33*A40)*25)+(A33*B40)*75</f>
        <v>112.5</v>
      </c>
      <c r="M28" s="59">
        <f t="shared" si="0"/>
        <v>112.5</v>
      </c>
      <c r="N28" s="59"/>
      <c r="P28" s="117">
        <f t="shared" si="1"/>
        <v>15</v>
      </c>
      <c r="Q28" s="118">
        <f t="shared" si="2"/>
        <v>112.5</v>
      </c>
    </row>
    <row r="29" spans="1:17" x14ac:dyDescent="0.25">
      <c r="A29" s="40" t="s">
        <v>8</v>
      </c>
      <c r="B29" s="41" t="s">
        <v>9</v>
      </c>
      <c r="C29">
        <v>16</v>
      </c>
      <c r="D29" t="s">
        <v>93</v>
      </c>
      <c r="I29" s="52">
        <f>(B40*A43)*120</f>
        <v>0</v>
      </c>
      <c r="J29" s="52"/>
      <c r="K29" s="52"/>
      <c r="L29" s="52"/>
      <c r="M29" s="59">
        <f t="shared" si="0"/>
        <v>0</v>
      </c>
      <c r="P29" s="117">
        <f t="shared" si="1"/>
        <v>16</v>
      </c>
      <c r="Q29" s="118">
        <f t="shared" si="2"/>
        <v>0</v>
      </c>
    </row>
    <row r="30" spans="1:17" ht="15.75" thickBot="1" x14ac:dyDescent="0.3">
      <c r="A30" s="90">
        <v>0</v>
      </c>
      <c r="B30" s="91">
        <v>1</v>
      </c>
      <c r="C30">
        <v>17</v>
      </c>
      <c r="D30" t="s">
        <v>137</v>
      </c>
      <c r="I30" s="52">
        <f>A43*85</f>
        <v>85</v>
      </c>
      <c r="J30" s="52">
        <f>((A43*A49)*95)+((A43*B49)*170)</f>
        <v>95</v>
      </c>
      <c r="K30" s="52"/>
      <c r="L30" s="52"/>
      <c r="M30" s="59">
        <f t="shared" si="0"/>
        <v>180</v>
      </c>
      <c r="P30" s="117">
        <f t="shared" si="1"/>
        <v>17</v>
      </c>
      <c r="Q30" s="118">
        <f t="shared" si="2"/>
        <v>180</v>
      </c>
    </row>
    <row r="31" spans="1:17" ht="15.75" thickBot="1" x14ac:dyDescent="0.3">
      <c r="C31">
        <v>18</v>
      </c>
      <c r="D31" t="s">
        <v>138</v>
      </c>
      <c r="I31" s="52"/>
      <c r="J31" s="52"/>
      <c r="K31" s="52"/>
      <c r="L31" s="52">
        <f>((A78*A33)*65)+((B78*A43)*95)</f>
        <v>292.5</v>
      </c>
      <c r="M31" s="59">
        <f t="shared" si="0"/>
        <v>292.5</v>
      </c>
      <c r="P31" s="117">
        <f t="shared" si="1"/>
        <v>18</v>
      </c>
      <c r="Q31" s="118">
        <f t="shared" si="2"/>
        <v>292.5</v>
      </c>
    </row>
    <row r="32" spans="1:17" x14ac:dyDescent="0.25">
      <c r="A32" s="9" t="s">
        <v>2</v>
      </c>
      <c r="B32" s="16"/>
      <c r="C32">
        <v>19</v>
      </c>
      <c r="D32" t="s">
        <v>61</v>
      </c>
      <c r="I32" s="52">
        <v>35</v>
      </c>
      <c r="J32" s="52">
        <v>32</v>
      </c>
      <c r="K32" s="52"/>
      <c r="L32" s="52"/>
      <c r="M32" s="59">
        <f t="shared" si="0"/>
        <v>67</v>
      </c>
      <c r="P32" s="117">
        <f t="shared" si="1"/>
        <v>19</v>
      </c>
      <c r="Q32" s="118">
        <f t="shared" si="2"/>
        <v>67</v>
      </c>
    </row>
    <row r="33" spans="1:17" x14ac:dyDescent="0.25">
      <c r="A33" s="87">
        <v>4.5</v>
      </c>
      <c r="B33" s="17"/>
      <c r="C33">
        <v>20</v>
      </c>
      <c r="D33" t="s">
        <v>100</v>
      </c>
      <c r="I33" s="52">
        <f>-J11*125</f>
        <v>0</v>
      </c>
      <c r="J33" s="52">
        <f>J11*65</f>
        <v>0</v>
      </c>
      <c r="K33" s="52"/>
      <c r="L33" s="52"/>
      <c r="M33" s="59">
        <f t="shared" si="0"/>
        <v>0</v>
      </c>
      <c r="P33" s="117">
        <f t="shared" si="1"/>
        <v>20</v>
      </c>
      <c r="Q33" s="118">
        <f t="shared" si="2"/>
        <v>0</v>
      </c>
    </row>
    <row r="34" spans="1:17" x14ac:dyDescent="0.25">
      <c r="A34" s="18" t="s">
        <v>0</v>
      </c>
      <c r="B34" s="19" t="s">
        <v>14</v>
      </c>
      <c r="C34">
        <v>21</v>
      </c>
      <c r="D34" t="s">
        <v>102</v>
      </c>
      <c r="I34" s="52">
        <f>K11*385</f>
        <v>0</v>
      </c>
      <c r="J34" s="52">
        <f>K11*1232</f>
        <v>0</v>
      </c>
      <c r="K34" s="52"/>
      <c r="L34" s="52"/>
      <c r="M34" s="59">
        <f t="shared" si="0"/>
        <v>0</v>
      </c>
      <c r="P34" s="117">
        <f t="shared" si="1"/>
        <v>21</v>
      </c>
      <c r="Q34" s="118">
        <f t="shared" si="2"/>
        <v>0</v>
      </c>
    </row>
    <row r="35" spans="1:17" x14ac:dyDescent="0.25">
      <c r="A35" s="88">
        <v>1</v>
      </c>
      <c r="B35" s="89">
        <v>0</v>
      </c>
      <c r="C35">
        <v>22</v>
      </c>
      <c r="D35" t="s">
        <v>101</v>
      </c>
      <c r="I35" s="52">
        <f>I11*125</f>
        <v>125</v>
      </c>
      <c r="J35" s="52">
        <f>I11*35</f>
        <v>35</v>
      </c>
      <c r="K35" s="52"/>
      <c r="L35" s="52"/>
      <c r="M35" s="59">
        <f t="shared" si="0"/>
        <v>160</v>
      </c>
      <c r="P35" s="117">
        <f t="shared" si="1"/>
        <v>22</v>
      </c>
      <c r="Q35" s="118">
        <f t="shared" si="2"/>
        <v>160</v>
      </c>
    </row>
    <row r="36" spans="1:17" x14ac:dyDescent="0.25">
      <c r="A36" s="12" t="s">
        <v>21</v>
      </c>
      <c r="B36" s="13"/>
      <c r="C36">
        <v>23</v>
      </c>
      <c r="D36" t="s">
        <v>52</v>
      </c>
      <c r="I36" s="52">
        <f>((A16*70)*10.5)+(A20*((A23+B23+A23*8)*10.5))</f>
        <v>735</v>
      </c>
      <c r="J36" s="52">
        <f>((A16*70)*3.5)+(A20*((A23+B23+B23*8)*3.5))</f>
        <v>245</v>
      </c>
      <c r="K36" s="52"/>
      <c r="L36" s="52"/>
      <c r="M36" s="59">
        <f t="shared" si="0"/>
        <v>980</v>
      </c>
      <c r="P36" s="117">
        <f t="shared" si="1"/>
        <v>23</v>
      </c>
      <c r="Q36" s="118">
        <f t="shared" si="2"/>
        <v>980</v>
      </c>
    </row>
    <row r="37" spans="1:17" x14ac:dyDescent="0.25">
      <c r="A37" s="92">
        <v>4</v>
      </c>
      <c r="B37" s="37"/>
      <c r="C37">
        <v>24</v>
      </c>
      <c r="D37" t="s">
        <v>53</v>
      </c>
      <c r="I37" s="52">
        <f>B12*6</f>
        <v>285</v>
      </c>
      <c r="J37" s="52">
        <f>B12*4.5</f>
        <v>213.75</v>
      </c>
      <c r="K37" s="52"/>
      <c r="L37" s="52"/>
      <c r="M37" s="59">
        <f t="shared" si="0"/>
        <v>498.75</v>
      </c>
      <c r="P37" s="117">
        <f t="shared" si="1"/>
        <v>24</v>
      </c>
      <c r="Q37" s="118">
        <f t="shared" si="2"/>
        <v>498.75</v>
      </c>
    </row>
    <row r="38" spans="1:17" x14ac:dyDescent="0.25">
      <c r="A38" s="12" t="s">
        <v>34</v>
      </c>
      <c r="B38" s="13"/>
      <c r="C38">
        <v>25</v>
      </c>
      <c r="D38" t="s">
        <v>54</v>
      </c>
      <c r="I38" s="52">
        <f>H11*(B12*7)</f>
        <v>0</v>
      </c>
      <c r="J38" s="52">
        <f>H11*((B12*10)+80)</f>
        <v>0</v>
      </c>
      <c r="K38" s="52"/>
      <c r="L38" s="52"/>
      <c r="M38" s="59">
        <f t="shared" si="0"/>
        <v>0</v>
      </c>
      <c r="P38" s="117">
        <f t="shared" si="1"/>
        <v>25</v>
      </c>
      <c r="Q38" s="118">
        <f t="shared" si="2"/>
        <v>0</v>
      </c>
    </row>
    <row r="39" spans="1:17" x14ac:dyDescent="0.25">
      <c r="A39" s="14" t="s">
        <v>35</v>
      </c>
      <c r="B39" s="13" t="s">
        <v>36</v>
      </c>
      <c r="C39">
        <v>26</v>
      </c>
      <c r="D39" t="s">
        <v>55</v>
      </c>
      <c r="I39" s="52">
        <f>D11*(((A11+B11)*2)*3)</f>
        <v>87</v>
      </c>
      <c r="J39" s="52">
        <f>D11*(((A11+B11)*2)*1.2)</f>
        <v>34.799999999999997</v>
      </c>
      <c r="K39" s="52"/>
      <c r="L39" s="52"/>
      <c r="M39" s="59">
        <f t="shared" si="0"/>
        <v>121.8</v>
      </c>
      <c r="P39" s="117">
        <f t="shared" si="1"/>
        <v>26</v>
      </c>
      <c r="Q39" s="118">
        <f t="shared" si="2"/>
        <v>121.8</v>
      </c>
    </row>
    <row r="40" spans="1:17" ht="15.75" thickBot="1" x14ac:dyDescent="0.3">
      <c r="A40" s="90">
        <v>1</v>
      </c>
      <c r="B40" s="91">
        <v>0</v>
      </c>
      <c r="C40">
        <v>27</v>
      </c>
      <c r="D40" t="s">
        <v>139</v>
      </c>
      <c r="I40" s="52">
        <f>E11*110</f>
        <v>0</v>
      </c>
      <c r="J40" s="52">
        <f>E11*175</f>
        <v>0</v>
      </c>
      <c r="K40" s="52"/>
      <c r="L40" s="52"/>
      <c r="M40" s="59">
        <f t="shared" si="0"/>
        <v>0</v>
      </c>
      <c r="P40" s="117">
        <f t="shared" si="1"/>
        <v>27</v>
      </c>
      <c r="Q40" s="118">
        <f t="shared" si="2"/>
        <v>0</v>
      </c>
    </row>
    <row r="41" spans="1:17" ht="15.75" thickBot="1" x14ac:dyDescent="0.3">
      <c r="C41">
        <v>28</v>
      </c>
      <c r="D41" t="s">
        <v>56</v>
      </c>
      <c r="I41" s="52">
        <f>(A62*65)+(B62*65)</f>
        <v>65</v>
      </c>
      <c r="J41" s="52">
        <f>(A62*98)+(B62*188)</f>
        <v>98</v>
      </c>
      <c r="K41" s="52"/>
      <c r="L41" s="52"/>
      <c r="M41" s="59">
        <f t="shared" si="0"/>
        <v>163</v>
      </c>
      <c r="P41" s="117">
        <f t="shared" si="1"/>
        <v>28</v>
      </c>
      <c r="Q41" s="118">
        <f t="shared" si="2"/>
        <v>163</v>
      </c>
    </row>
    <row r="42" spans="1:17" x14ac:dyDescent="0.25">
      <c r="A42" s="9" t="s">
        <v>19</v>
      </c>
      <c r="B42" s="10"/>
      <c r="C42">
        <v>29</v>
      </c>
      <c r="D42" t="s">
        <v>57</v>
      </c>
      <c r="I42" s="52">
        <f>65+(M11*(B12*9))</f>
        <v>65</v>
      </c>
      <c r="J42" s="52">
        <f>B12*1.755</f>
        <v>83.362499999999997</v>
      </c>
      <c r="K42" s="52"/>
      <c r="L42" s="52"/>
      <c r="M42" s="59">
        <f t="shared" si="0"/>
        <v>148.36250000000001</v>
      </c>
      <c r="P42" s="117">
        <f t="shared" si="1"/>
        <v>29</v>
      </c>
      <c r="Q42" s="118">
        <f t="shared" si="2"/>
        <v>148.36250000000001</v>
      </c>
    </row>
    <row r="43" spans="1:17" x14ac:dyDescent="0.25">
      <c r="A43" s="93">
        <v>1</v>
      </c>
      <c r="B43" s="11"/>
      <c r="C43">
        <v>30</v>
      </c>
      <c r="D43" t="s">
        <v>58</v>
      </c>
      <c r="I43" s="52">
        <f>B12*4.5</f>
        <v>213.75</v>
      </c>
      <c r="J43" s="52">
        <f>B12*3.45</f>
        <v>163.875</v>
      </c>
      <c r="K43" s="52"/>
      <c r="L43" s="52"/>
      <c r="M43" s="59">
        <f t="shared" si="0"/>
        <v>377.625</v>
      </c>
      <c r="P43" s="117">
        <f t="shared" si="1"/>
        <v>30</v>
      </c>
      <c r="Q43" s="118">
        <f t="shared" si="2"/>
        <v>377.625</v>
      </c>
    </row>
    <row r="44" spans="1:17" ht="15.75" thickBot="1" x14ac:dyDescent="0.3">
      <c r="A44" s="119" t="s">
        <v>1</v>
      </c>
      <c r="B44" s="120" t="s">
        <v>12</v>
      </c>
      <c r="C44">
        <v>31</v>
      </c>
      <c r="D44" t="s">
        <v>112</v>
      </c>
      <c r="I44" s="52"/>
      <c r="J44" s="52"/>
      <c r="K44" s="52"/>
      <c r="L44" s="52">
        <f>F11*(B12*9.25)</f>
        <v>439.375</v>
      </c>
      <c r="M44" s="59">
        <f t="shared" si="0"/>
        <v>439.375</v>
      </c>
      <c r="P44" s="117">
        <f t="shared" si="1"/>
        <v>31</v>
      </c>
      <c r="Q44" s="118">
        <f t="shared" si="2"/>
        <v>439.375</v>
      </c>
    </row>
    <row r="45" spans="1:17" ht="15.75" thickBot="1" x14ac:dyDescent="0.3">
      <c r="A45" s="121"/>
      <c r="B45" s="2"/>
      <c r="C45">
        <v>32</v>
      </c>
      <c r="D45" t="s">
        <v>59</v>
      </c>
      <c r="E45" s="1"/>
      <c r="F45" s="1"/>
      <c r="G45" s="1"/>
      <c r="H45" s="1"/>
      <c r="I45" s="52"/>
      <c r="J45" s="52"/>
      <c r="K45" s="52"/>
      <c r="L45" s="52">
        <f>(A82*455)+(B82*1120)</f>
        <v>0</v>
      </c>
      <c r="M45" s="59">
        <f t="shared" si="0"/>
        <v>0</v>
      </c>
      <c r="P45" s="117">
        <f t="shared" si="1"/>
        <v>32</v>
      </c>
      <c r="Q45" s="118">
        <f t="shared" si="2"/>
        <v>0</v>
      </c>
    </row>
    <row r="46" spans="1:17" x14ac:dyDescent="0.25">
      <c r="A46" s="122">
        <v>1</v>
      </c>
      <c r="B46" s="123">
        <v>0</v>
      </c>
      <c r="C46">
        <v>33</v>
      </c>
      <c r="D46" t="s">
        <v>105</v>
      </c>
      <c r="E46" s="1"/>
      <c r="F46" s="1"/>
      <c r="G46" s="1"/>
      <c r="H46" s="1"/>
      <c r="I46" s="52"/>
      <c r="J46" s="52"/>
      <c r="K46" s="52"/>
      <c r="L46" s="52">
        <f>(A86*452)+(B86*854)</f>
        <v>854</v>
      </c>
      <c r="M46" s="59">
        <f t="shared" si="0"/>
        <v>854</v>
      </c>
      <c r="P46" s="117">
        <f t="shared" si="1"/>
        <v>33</v>
      </c>
      <c r="Q46" s="118">
        <f t="shared" si="2"/>
        <v>854</v>
      </c>
    </row>
    <row r="47" spans="1:17" x14ac:dyDescent="0.25">
      <c r="A47" s="12" t="s">
        <v>140</v>
      </c>
      <c r="B47" s="13"/>
      <c r="C47">
        <v>34</v>
      </c>
      <c r="D47" t="s">
        <v>106</v>
      </c>
      <c r="E47" s="1"/>
      <c r="F47" s="1"/>
      <c r="G47" s="1"/>
      <c r="H47" s="1"/>
      <c r="I47" s="52"/>
      <c r="J47" s="52"/>
      <c r="K47" s="52"/>
      <c r="L47" s="52"/>
      <c r="M47" s="59">
        <f t="shared" si="0"/>
        <v>0</v>
      </c>
      <c r="P47" s="117">
        <f t="shared" si="1"/>
        <v>34</v>
      </c>
      <c r="Q47" s="118">
        <f t="shared" si="2"/>
        <v>0</v>
      </c>
    </row>
    <row r="48" spans="1:17" x14ac:dyDescent="0.25">
      <c r="A48" s="14" t="s">
        <v>22</v>
      </c>
      <c r="B48" s="15" t="s">
        <v>9</v>
      </c>
      <c r="C48">
        <v>35</v>
      </c>
      <c r="D48" s="1" t="s">
        <v>60</v>
      </c>
      <c r="I48" s="52">
        <v>20</v>
      </c>
      <c r="J48" s="52">
        <v>85</v>
      </c>
      <c r="K48" s="52"/>
      <c r="L48" s="52"/>
      <c r="M48" s="59">
        <f t="shared" si="0"/>
        <v>105</v>
      </c>
      <c r="P48" s="117">
        <f t="shared" si="1"/>
        <v>35</v>
      </c>
      <c r="Q48" s="118">
        <f t="shared" si="2"/>
        <v>105</v>
      </c>
    </row>
    <row r="49" spans="1:17" ht="15.75" thickBot="1" x14ac:dyDescent="0.3">
      <c r="A49" s="90">
        <v>1</v>
      </c>
      <c r="B49" s="91">
        <v>0</v>
      </c>
      <c r="C49">
        <v>36</v>
      </c>
      <c r="D49" t="s">
        <v>99</v>
      </c>
      <c r="I49" s="52">
        <f>G11*(B12*12.24)</f>
        <v>0</v>
      </c>
      <c r="J49" s="52">
        <f>G11*(B12*15.2)</f>
        <v>0</v>
      </c>
      <c r="K49" s="52"/>
      <c r="L49" s="52"/>
      <c r="M49" s="59">
        <f t="shared" si="0"/>
        <v>0</v>
      </c>
      <c r="P49" s="117">
        <f t="shared" si="1"/>
        <v>36</v>
      </c>
      <c r="Q49" s="118">
        <f t="shared" si="2"/>
        <v>0</v>
      </c>
    </row>
    <row r="50" spans="1:17" ht="15.75" thickBot="1" x14ac:dyDescent="0.3">
      <c r="D50" s="1"/>
      <c r="E50" s="1"/>
      <c r="F50" s="1"/>
      <c r="G50" s="1"/>
      <c r="H50" s="1"/>
      <c r="I50" s="52"/>
      <c r="J50" s="52"/>
      <c r="K50" s="52"/>
      <c r="L50" s="52"/>
      <c r="M50" s="59"/>
      <c r="P50" s="117"/>
      <c r="Q50" s="118"/>
    </row>
    <row r="51" spans="1:17" ht="15.75" thickBot="1" x14ac:dyDescent="0.3">
      <c r="A51" s="28" t="s">
        <v>23</v>
      </c>
      <c r="B51" s="29"/>
      <c r="C51">
        <v>37</v>
      </c>
      <c r="D51" s="47" t="s">
        <v>103</v>
      </c>
      <c r="E51" s="48"/>
      <c r="F51" s="48"/>
      <c r="G51" s="48"/>
      <c r="H51" s="48"/>
      <c r="I51" s="52"/>
      <c r="J51" s="52"/>
      <c r="K51" s="52"/>
      <c r="L51" s="52"/>
      <c r="M51" s="59"/>
      <c r="P51" s="117">
        <f t="shared" si="1"/>
        <v>37</v>
      </c>
      <c r="Q51" s="118">
        <f t="shared" si="2"/>
        <v>0</v>
      </c>
    </row>
    <row r="52" spans="1:17" x14ac:dyDescent="0.25">
      <c r="A52" s="30" t="s">
        <v>13</v>
      </c>
      <c r="B52" s="31" t="s">
        <v>3</v>
      </c>
      <c r="C52">
        <v>38</v>
      </c>
      <c r="D52" t="s">
        <v>80</v>
      </c>
      <c r="I52" s="52">
        <f>M11*(B12*17)</f>
        <v>0</v>
      </c>
      <c r="J52" s="52">
        <f>M11*(B12*16)</f>
        <v>0</v>
      </c>
      <c r="K52" s="52"/>
      <c r="L52" s="52"/>
      <c r="M52" s="59">
        <f t="shared" si="0"/>
        <v>0</v>
      </c>
      <c r="P52" s="117">
        <f t="shared" si="1"/>
        <v>38</v>
      </c>
      <c r="Q52" s="118">
        <f t="shared" si="2"/>
        <v>0</v>
      </c>
    </row>
    <row r="53" spans="1:17" ht="15.75" thickBot="1" x14ac:dyDescent="0.3">
      <c r="A53" s="90">
        <v>1</v>
      </c>
      <c r="B53" s="91">
        <v>0</v>
      </c>
      <c r="C53">
        <v>39</v>
      </c>
      <c r="D53" t="s">
        <v>82</v>
      </c>
      <c r="I53" s="52">
        <f>M11*(B12*3.25)</f>
        <v>0</v>
      </c>
      <c r="J53" s="52">
        <f>M11*(B12*5.22)</f>
        <v>0</v>
      </c>
      <c r="K53" s="52"/>
      <c r="L53" s="52"/>
      <c r="M53" s="59">
        <f t="shared" si="0"/>
        <v>0</v>
      </c>
      <c r="P53" s="117">
        <f t="shared" si="1"/>
        <v>39</v>
      </c>
      <c r="Q53" s="118">
        <f t="shared" si="2"/>
        <v>0</v>
      </c>
    </row>
    <row r="54" spans="1:17" ht="15.75" thickBot="1" x14ac:dyDescent="0.3">
      <c r="C54">
        <v>40</v>
      </c>
      <c r="D54" t="s">
        <v>81</v>
      </c>
      <c r="I54" s="52"/>
      <c r="J54" s="52"/>
      <c r="K54" s="52"/>
      <c r="L54" s="52">
        <f>N11*445</f>
        <v>0</v>
      </c>
      <c r="M54" s="59">
        <f t="shared" si="0"/>
        <v>0</v>
      </c>
      <c r="P54" s="117">
        <f t="shared" si="1"/>
        <v>40</v>
      </c>
      <c r="Q54" s="118">
        <f t="shared" si="2"/>
        <v>0</v>
      </c>
    </row>
    <row r="55" spans="1:17" x14ac:dyDescent="0.25">
      <c r="A55" s="28" t="s">
        <v>24</v>
      </c>
      <c r="B55" s="29"/>
      <c r="C55">
        <v>41</v>
      </c>
      <c r="D55" t="s">
        <v>141</v>
      </c>
      <c r="I55" s="52"/>
      <c r="J55" s="52"/>
      <c r="K55" s="52"/>
      <c r="L55" s="52">
        <f>O11*645</f>
        <v>0</v>
      </c>
      <c r="M55" s="59">
        <f t="shared" si="0"/>
        <v>0</v>
      </c>
      <c r="P55" s="117">
        <f t="shared" si="1"/>
        <v>41</v>
      </c>
      <c r="Q55" s="118">
        <f t="shared" si="2"/>
        <v>0</v>
      </c>
    </row>
    <row r="56" spans="1:17" ht="15.75" thickBot="1" x14ac:dyDescent="0.3">
      <c r="A56" s="32" t="s">
        <v>8</v>
      </c>
      <c r="B56" s="33" t="s">
        <v>9</v>
      </c>
      <c r="C56">
        <v>42</v>
      </c>
      <c r="D56" t="s">
        <v>107</v>
      </c>
      <c r="I56" s="52"/>
      <c r="J56" s="52"/>
      <c r="K56" s="52"/>
      <c r="L56" s="52">
        <f>M11*850</f>
        <v>0</v>
      </c>
      <c r="M56" s="59">
        <f t="shared" si="0"/>
        <v>0</v>
      </c>
      <c r="P56" s="117">
        <f t="shared" si="1"/>
        <v>42</v>
      </c>
      <c r="Q56" s="118">
        <f t="shared" si="2"/>
        <v>0</v>
      </c>
    </row>
    <row r="57" spans="1:17" ht="15.75" thickBot="1" x14ac:dyDescent="0.3">
      <c r="A57" s="68"/>
      <c r="B57" s="69"/>
      <c r="C57">
        <v>43</v>
      </c>
      <c r="D57" t="s">
        <v>144</v>
      </c>
      <c r="I57" s="71"/>
      <c r="J57" s="71"/>
      <c r="K57" s="71"/>
      <c r="L57" s="71"/>
      <c r="M57" s="115"/>
      <c r="N57" s="59"/>
      <c r="P57" s="117">
        <f t="shared" si="1"/>
        <v>43</v>
      </c>
      <c r="Q57" s="118">
        <f t="shared" si="2"/>
        <v>0</v>
      </c>
    </row>
    <row r="58" spans="1:17" ht="15.75" thickBot="1" x14ac:dyDescent="0.3">
      <c r="A58" s="90">
        <v>0</v>
      </c>
      <c r="B58" s="91">
        <v>0</v>
      </c>
      <c r="H58" t="s">
        <v>88</v>
      </c>
      <c r="I58" s="67">
        <f>SUM(I14:I57)</f>
        <v>2825.75</v>
      </c>
      <c r="J58" s="67">
        <f>SUM(J14:J57)</f>
        <v>2649.7875000000004</v>
      </c>
      <c r="K58" s="67">
        <f>SUM(K14:K57)</f>
        <v>1084</v>
      </c>
      <c r="L58" s="67">
        <f>SUM(L14:L57)</f>
        <v>3902.875</v>
      </c>
      <c r="M58" s="70"/>
      <c r="P58" s="117"/>
      <c r="Q58" s="118">
        <f>SUM(Q14:Q57)</f>
        <v>10462.412499999999</v>
      </c>
    </row>
    <row r="59" spans="1:17" ht="15.75" thickBot="1" x14ac:dyDescent="0.3">
      <c r="I59" s="52"/>
      <c r="J59" s="52"/>
      <c r="K59" s="52"/>
      <c r="L59" s="52"/>
      <c r="M59" s="65"/>
    </row>
    <row r="60" spans="1:17" x14ac:dyDescent="0.25">
      <c r="A60" s="28" t="s">
        <v>11</v>
      </c>
      <c r="B60" s="29"/>
      <c r="I60" s="52"/>
      <c r="J60" s="52"/>
      <c r="K60" s="52" t="s">
        <v>109</v>
      </c>
      <c r="L60" s="52"/>
      <c r="M60" s="59">
        <f>SUM(M14:M59)</f>
        <v>10462.412499999999</v>
      </c>
    </row>
    <row r="61" spans="1:17" ht="15.75" thickBot="1" x14ac:dyDescent="0.3">
      <c r="A61" s="30" t="s">
        <v>8</v>
      </c>
      <c r="B61" s="31" t="s">
        <v>9</v>
      </c>
      <c r="I61" s="52"/>
      <c r="J61" s="52" t="s">
        <v>108</v>
      </c>
      <c r="K61" s="52"/>
      <c r="L61" s="63">
        <v>0.12</v>
      </c>
      <c r="M61" s="64">
        <f>M60*L61</f>
        <v>1255.4894999999997</v>
      </c>
    </row>
    <row r="62" spans="1:17" ht="16.5" thickTop="1" thickBot="1" x14ac:dyDescent="0.3">
      <c r="A62" s="90">
        <v>1</v>
      </c>
      <c r="B62" s="91">
        <v>0</v>
      </c>
      <c r="I62" s="52"/>
      <c r="J62" s="52"/>
      <c r="K62" s="67" t="s">
        <v>113</v>
      </c>
      <c r="L62" s="67"/>
      <c r="M62" s="66">
        <f>M60+M61</f>
        <v>11717.901999999998</v>
      </c>
    </row>
    <row r="63" spans="1:17" ht="15.75" thickBot="1" x14ac:dyDescent="0.3">
      <c r="I63" s="52"/>
      <c r="J63" s="52"/>
      <c r="K63" s="52"/>
      <c r="L63" s="52"/>
      <c r="M63" s="59"/>
    </row>
    <row r="64" spans="1:17" ht="15.75" thickBot="1" x14ac:dyDescent="0.3">
      <c r="A64" s="28" t="s">
        <v>15</v>
      </c>
      <c r="B64" s="34"/>
      <c r="I64" s="52"/>
      <c r="J64" s="52"/>
      <c r="K64" s="67" t="s">
        <v>115</v>
      </c>
      <c r="L64" s="52"/>
      <c r="M64" s="95">
        <f>M62/B12</f>
        <v>246.69267368421049</v>
      </c>
    </row>
    <row r="65" spans="1:13" x14ac:dyDescent="0.25">
      <c r="A65" s="30" t="s">
        <v>8</v>
      </c>
      <c r="B65" s="31" t="s">
        <v>9</v>
      </c>
      <c r="I65" s="52"/>
      <c r="J65" s="52"/>
      <c r="K65" s="52"/>
      <c r="L65" s="52"/>
      <c r="M65" s="59"/>
    </row>
    <row r="66" spans="1:13" ht="15.75" thickBot="1" x14ac:dyDescent="0.3">
      <c r="A66" s="90">
        <v>0</v>
      </c>
      <c r="B66" s="91">
        <v>1</v>
      </c>
      <c r="I66" s="52"/>
      <c r="J66" s="52"/>
      <c r="K66" s="52"/>
      <c r="L66" s="52"/>
      <c r="M66" s="59"/>
    </row>
    <row r="67" spans="1:13" ht="15.75" thickBot="1" x14ac:dyDescent="0.3">
      <c r="I67" s="52"/>
      <c r="J67" s="52"/>
      <c r="K67" s="52"/>
      <c r="L67" s="52"/>
      <c r="M67" s="59"/>
    </row>
    <row r="68" spans="1:13" x14ac:dyDescent="0.25">
      <c r="A68" s="28" t="s">
        <v>18</v>
      </c>
      <c r="B68" s="34"/>
      <c r="M68" s="59"/>
    </row>
    <row r="69" spans="1:13" x14ac:dyDescent="0.25">
      <c r="A69" s="30" t="s">
        <v>16</v>
      </c>
      <c r="B69" s="31" t="s">
        <v>17</v>
      </c>
      <c r="M69" s="59"/>
    </row>
    <row r="70" spans="1:13" ht="15.75" thickBot="1" x14ac:dyDescent="0.3">
      <c r="A70" s="90"/>
      <c r="B70" s="91">
        <v>1</v>
      </c>
    </row>
    <row r="71" spans="1:13" ht="15.75" thickBot="1" x14ac:dyDescent="0.3"/>
    <row r="72" spans="1:13" x14ac:dyDescent="0.25">
      <c r="A72" s="35" t="s">
        <v>25</v>
      </c>
      <c r="B72" s="34"/>
    </row>
    <row r="73" spans="1:13" x14ac:dyDescent="0.25">
      <c r="A73" s="30" t="s">
        <v>20</v>
      </c>
      <c r="B73" s="31" t="s">
        <v>10</v>
      </c>
    </row>
    <row r="74" spans="1:13" ht="15.75" thickBot="1" x14ac:dyDescent="0.3">
      <c r="A74" s="90">
        <v>1</v>
      </c>
      <c r="B74" s="91">
        <v>0</v>
      </c>
    </row>
    <row r="75" spans="1:13" ht="15.75" thickBot="1" x14ac:dyDescent="0.3"/>
    <row r="76" spans="1:13" x14ac:dyDescent="0.25">
      <c r="A76" s="35" t="s">
        <v>31</v>
      </c>
      <c r="B76" s="34"/>
    </row>
    <row r="77" spans="1:13" x14ac:dyDescent="0.25">
      <c r="A77" s="30" t="s">
        <v>27</v>
      </c>
      <c r="B77" s="31" t="s">
        <v>26</v>
      </c>
    </row>
    <row r="78" spans="1:13" ht="15.75" thickBot="1" x14ac:dyDescent="0.3">
      <c r="A78" s="90">
        <v>1</v>
      </c>
      <c r="B78" s="91">
        <v>0</v>
      </c>
    </row>
    <row r="79" spans="1:13" ht="15.75" thickBot="1" x14ac:dyDescent="0.3"/>
    <row r="80" spans="1:13" x14ac:dyDescent="0.25">
      <c r="A80" s="35" t="s">
        <v>32</v>
      </c>
      <c r="B80" s="34"/>
    </row>
    <row r="81" spans="1:2" x14ac:dyDescent="0.25">
      <c r="A81" s="30" t="s">
        <v>28</v>
      </c>
      <c r="B81" s="31" t="s">
        <v>29</v>
      </c>
    </row>
    <row r="82" spans="1:2" ht="15.75" thickBot="1" x14ac:dyDescent="0.3">
      <c r="A82" s="90">
        <v>0</v>
      </c>
      <c r="B82" s="91">
        <v>0</v>
      </c>
    </row>
    <row r="83" spans="1:2" ht="15.75" thickBot="1" x14ac:dyDescent="0.3"/>
    <row r="84" spans="1:2" x14ac:dyDescent="0.25">
      <c r="A84" s="42" t="s">
        <v>30</v>
      </c>
      <c r="B84" s="34"/>
    </row>
    <row r="85" spans="1:2" x14ac:dyDescent="0.25">
      <c r="A85" s="30" t="s">
        <v>28</v>
      </c>
      <c r="B85" s="31" t="s">
        <v>29</v>
      </c>
    </row>
    <row r="86" spans="1:2" x14ac:dyDescent="0.25">
      <c r="A86" s="81">
        <v>0</v>
      </c>
      <c r="B86" s="82">
        <v>1</v>
      </c>
    </row>
    <row r="87" spans="1:2" x14ac:dyDescent="0.25">
      <c r="A87" s="60" t="s">
        <v>142</v>
      </c>
      <c r="B87" s="61"/>
    </row>
    <row r="88" spans="1:2" ht="15.75" thickBot="1" x14ac:dyDescent="0.3">
      <c r="A88" s="94">
        <v>1</v>
      </c>
      <c r="B88" s="62"/>
    </row>
  </sheetData>
  <sheetProtection password="DBB5" sheet="1" objects="1" scenarios="1"/>
  <pageMargins left="0.25" right="0.25" top="0.75" bottom="0.75" header="0.3" footer="0.3"/>
  <pageSetup paperSize="3" scale="82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cp:lastPrinted>2021-09-05T21:24:28Z</cp:lastPrinted>
  <dcterms:created xsi:type="dcterms:W3CDTF">2021-09-05T13:51:05Z</dcterms:created>
  <dcterms:modified xsi:type="dcterms:W3CDTF">2021-09-05T21:27:34Z</dcterms:modified>
</cp:coreProperties>
</file>